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motion\Paper\Mamot et al._2020_JGR_ESurf\ESurf\Suppl. material\"/>
    </mc:Choice>
  </mc:AlternateContent>
  <bookViews>
    <workbookView xWindow="0" yWindow="0" windowWidth="17580" windowHeight="11490"/>
  </bookViews>
  <sheets>
    <sheet name="D = 0" sheetId="2" r:id="rId1"/>
    <sheet name="D = 1" sheetId="3" r:id="rId2"/>
  </sheets>
  <calcPr calcId="162913"/>
</workbook>
</file>

<file path=xl/calcChain.xml><?xml version="1.0" encoding="utf-8"?>
<calcChain xmlns="http://schemas.openxmlformats.org/spreadsheetml/2006/main">
  <c r="D20" i="3" l="1"/>
  <c r="D8" i="3"/>
  <c r="B33" i="3" l="1"/>
  <c r="B35" i="3"/>
  <c r="B34" i="3"/>
  <c r="B22" i="3"/>
  <c r="B21" i="3"/>
  <c r="B20" i="3"/>
  <c r="B19" i="3"/>
  <c r="B18" i="3"/>
  <c r="B17" i="3"/>
  <c r="C11" i="3"/>
  <c r="C22" i="3" s="1"/>
  <c r="B11" i="3"/>
  <c r="C10" i="3"/>
  <c r="B10" i="3"/>
  <c r="E62" i="3"/>
  <c r="D62" i="3"/>
  <c r="C62" i="3"/>
  <c r="E61" i="3"/>
  <c r="D61" i="3"/>
  <c r="C61" i="3"/>
  <c r="E60" i="3"/>
  <c r="D60" i="3"/>
  <c r="C60" i="3"/>
  <c r="E59" i="3"/>
  <c r="D59" i="3"/>
  <c r="C59" i="3"/>
  <c r="E58" i="3"/>
  <c r="D58" i="3"/>
  <c r="C58" i="3"/>
  <c r="E56" i="3"/>
  <c r="D56" i="3"/>
  <c r="C56" i="3"/>
  <c r="E55" i="3"/>
  <c r="D55" i="3"/>
  <c r="C55" i="3"/>
  <c r="E54" i="3"/>
  <c r="D54" i="3"/>
  <c r="C54" i="3"/>
  <c r="E53" i="3"/>
  <c r="D53" i="3"/>
  <c r="C53" i="3"/>
  <c r="E52" i="3"/>
  <c r="D52" i="3"/>
  <c r="C52" i="3"/>
  <c r="E50" i="3"/>
  <c r="D50" i="3"/>
  <c r="B50" i="3"/>
  <c r="E49" i="3"/>
  <c r="D49" i="3"/>
  <c r="B49" i="3"/>
  <c r="B48" i="3"/>
  <c r="E47" i="3"/>
  <c r="B47" i="3"/>
  <c r="E46" i="3"/>
  <c r="D46" i="3"/>
  <c r="E45" i="3"/>
  <c r="D45" i="3"/>
  <c r="E44" i="3"/>
  <c r="E48" i="3" s="1"/>
  <c r="D44" i="3"/>
  <c r="D48" i="3" s="1"/>
  <c r="E43" i="3"/>
  <c r="D43" i="3"/>
  <c r="D47" i="3" s="1"/>
  <c r="G33" i="3"/>
  <c r="F33" i="3"/>
  <c r="C33" i="3"/>
  <c r="G28" i="3"/>
  <c r="F28" i="3"/>
  <c r="E28" i="3"/>
  <c r="E33" i="3" s="1"/>
  <c r="D28" i="3"/>
  <c r="D33" i="3" s="1"/>
  <c r="G27" i="3"/>
  <c r="F27" i="3"/>
  <c r="E27" i="3"/>
  <c r="D27" i="3"/>
  <c r="G26" i="3"/>
  <c r="F26" i="3"/>
  <c r="E26" i="3"/>
  <c r="D26" i="3"/>
  <c r="F21" i="3"/>
  <c r="G19" i="3"/>
  <c r="F19" i="3"/>
  <c r="F39" i="3" s="1"/>
  <c r="D19" i="3"/>
  <c r="D37" i="3" s="1"/>
  <c r="C19" i="3"/>
  <c r="C20" i="3" s="1"/>
  <c r="C18" i="3"/>
  <c r="C17" i="3"/>
  <c r="D16" i="3"/>
  <c r="D17" i="3" s="1"/>
  <c r="G11" i="3"/>
  <c r="F11" i="3"/>
  <c r="E11" i="3"/>
  <c r="D11" i="3"/>
  <c r="D22" i="3" s="1"/>
  <c r="D10" i="3"/>
  <c r="G9" i="3"/>
  <c r="G22" i="3" s="1"/>
  <c r="F9" i="3"/>
  <c r="F22" i="3" s="1"/>
  <c r="E9" i="3"/>
  <c r="E22" i="3" s="1"/>
  <c r="D9" i="3"/>
  <c r="G8" i="3"/>
  <c r="F8" i="3"/>
  <c r="E8" i="3"/>
  <c r="G6" i="3"/>
  <c r="G16" i="3" s="1"/>
  <c r="F6" i="3"/>
  <c r="F16" i="3" s="1"/>
  <c r="E6" i="3"/>
  <c r="E16" i="3" s="1"/>
  <c r="D6" i="3"/>
  <c r="G39" i="3" l="1"/>
  <c r="C36" i="3"/>
  <c r="C38" i="3"/>
  <c r="C34" i="3"/>
  <c r="G18" i="3"/>
  <c r="G17" i="3"/>
  <c r="D38" i="3"/>
  <c r="E17" i="3"/>
  <c r="E18" i="3"/>
  <c r="F18" i="3"/>
  <c r="F17" i="3"/>
  <c r="B36" i="3"/>
  <c r="B38" i="3"/>
  <c r="D36" i="3"/>
  <c r="F37" i="3"/>
  <c r="B39" i="3"/>
  <c r="G21" i="3"/>
  <c r="C35" i="3"/>
  <c r="G37" i="3"/>
  <c r="C39" i="3"/>
  <c r="F20" i="3"/>
  <c r="D35" i="3"/>
  <c r="D39" i="3"/>
  <c r="E19" i="3"/>
  <c r="G20" i="3"/>
  <c r="D18" i="3"/>
  <c r="D34" i="3"/>
  <c r="F35" i="3"/>
  <c r="C21" i="3"/>
  <c r="G35" i="3"/>
  <c r="B37" i="3"/>
  <c r="C37" i="3"/>
  <c r="D21" i="3"/>
  <c r="E53" i="2"/>
  <c r="E54" i="2"/>
  <c r="E55" i="2"/>
  <c r="E56" i="2"/>
  <c r="E52" i="2"/>
  <c r="D53" i="2"/>
  <c r="D54" i="2"/>
  <c r="D55" i="2"/>
  <c r="D56" i="2"/>
  <c r="C56" i="2"/>
  <c r="C55" i="2"/>
  <c r="C54" i="2"/>
  <c r="C53" i="2"/>
  <c r="C52" i="2"/>
  <c r="D52" i="2"/>
  <c r="E59" i="2"/>
  <c r="E60" i="2"/>
  <c r="E61" i="2"/>
  <c r="E62" i="2"/>
  <c r="E58" i="2"/>
  <c r="D59" i="2"/>
  <c r="D60" i="2"/>
  <c r="D61" i="2"/>
  <c r="D62" i="2"/>
  <c r="D58" i="2"/>
  <c r="C59" i="2"/>
  <c r="C60" i="2"/>
  <c r="C61" i="2"/>
  <c r="C62" i="2"/>
  <c r="C58" i="2"/>
  <c r="F38" i="3" l="1"/>
  <c r="F34" i="3"/>
  <c r="F36" i="3"/>
  <c r="E37" i="3"/>
  <c r="E21" i="3"/>
  <c r="E39" i="3"/>
  <c r="E35" i="3"/>
  <c r="E20" i="3"/>
  <c r="G38" i="3"/>
  <c r="G34" i="3"/>
  <c r="G36" i="3"/>
  <c r="E48" i="2"/>
  <c r="E49" i="2"/>
  <c r="E50" i="2"/>
  <c r="E47" i="2"/>
  <c r="D48" i="2"/>
  <c r="D49" i="2"/>
  <c r="D50" i="2"/>
  <c r="D47" i="2"/>
  <c r="E46" i="2"/>
  <c r="E45" i="2"/>
  <c r="E44" i="2"/>
  <c r="E43" i="2"/>
  <c r="D43" i="2"/>
  <c r="D46" i="2"/>
  <c r="D45" i="2"/>
  <c r="D44" i="2"/>
  <c r="B48" i="2"/>
  <c r="B49" i="2"/>
  <c r="B50" i="2"/>
  <c r="B47" i="2"/>
  <c r="E38" i="3" l="1"/>
  <c r="E34" i="3"/>
  <c r="E36" i="3"/>
  <c r="C39" i="2"/>
  <c r="D39" i="2"/>
  <c r="E39" i="2"/>
  <c r="F39" i="2"/>
  <c r="G39" i="2"/>
  <c r="C37" i="2"/>
  <c r="D37" i="2"/>
  <c r="E37" i="2"/>
  <c r="F37" i="2"/>
  <c r="G37" i="2"/>
  <c r="B39" i="2"/>
  <c r="B37" i="2"/>
  <c r="B35" i="2"/>
  <c r="C35" i="2"/>
  <c r="D35" i="2"/>
  <c r="E35" i="2"/>
  <c r="F35" i="2"/>
  <c r="G35" i="2"/>
  <c r="C38" i="2"/>
  <c r="D38" i="2"/>
  <c r="E38" i="2"/>
  <c r="F38" i="2"/>
  <c r="G38" i="2"/>
  <c r="C36" i="2"/>
  <c r="D36" i="2"/>
  <c r="E36" i="2"/>
  <c r="F36" i="2"/>
  <c r="G36" i="2"/>
  <c r="B38" i="2"/>
  <c r="B36" i="2"/>
  <c r="B34" i="2"/>
  <c r="C34" i="2"/>
  <c r="D34" i="2"/>
  <c r="E34" i="2"/>
  <c r="F34" i="2"/>
  <c r="G34" i="2"/>
  <c r="F33" i="2"/>
  <c r="C33" i="2"/>
  <c r="B33" i="2"/>
  <c r="G27" i="2"/>
  <c r="F27" i="2"/>
  <c r="G26" i="2"/>
  <c r="F26" i="2"/>
  <c r="E27" i="2"/>
  <c r="D27" i="2"/>
  <c r="E26" i="2"/>
  <c r="D26" i="2"/>
  <c r="E28" i="2"/>
  <c r="E33" i="2" s="1"/>
  <c r="D28" i="2"/>
  <c r="D33" i="2" s="1"/>
  <c r="G28" i="2"/>
  <c r="G33" i="2" s="1"/>
  <c r="F28" i="2"/>
  <c r="E11" i="2" l="1"/>
  <c r="E22" i="2" s="1"/>
  <c r="F11" i="2"/>
  <c r="G11" i="2"/>
  <c r="D10" i="2"/>
  <c r="D11" i="2"/>
  <c r="C18" i="2"/>
  <c r="B18" i="2"/>
  <c r="B17" i="2"/>
  <c r="C17" i="2"/>
  <c r="G22" i="2"/>
  <c r="F22" i="2"/>
  <c r="C22" i="2"/>
  <c r="B22" i="2"/>
  <c r="C21" i="2"/>
  <c r="B21" i="2"/>
  <c r="C20" i="2"/>
  <c r="F19" i="2"/>
  <c r="F20" i="2" s="1"/>
  <c r="C19" i="2"/>
  <c r="B19" i="2"/>
  <c r="B20" i="2" s="1"/>
  <c r="G9" i="2"/>
  <c r="G19" i="2" s="1"/>
  <c r="F9" i="2"/>
  <c r="E9" i="2"/>
  <c r="E19" i="2" s="1"/>
  <c r="D9" i="2"/>
  <c r="D19" i="2" s="1"/>
  <c r="E8" i="2"/>
  <c r="D8" i="2"/>
  <c r="G8" i="2"/>
  <c r="F8" i="2"/>
  <c r="E6" i="2"/>
  <c r="E16" i="2" s="1"/>
  <c r="D20" i="2" l="1"/>
  <c r="D21" i="2"/>
  <c r="E18" i="2"/>
  <c r="E17" i="2"/>
  <c r="E20" i="2"/>
  <c r="E21" i="2"/>
  <c r="G21" i="2"/>
  <c r="G20" i="2"/>
  <c r="D22" i="2"/>
  <c r="F21" i="2"/>
  <c r="D6" i="2"/>
  <c r="D16" i="2" s="1"/>
  <c r="D17" i="2" s="1"/>
  <c r="G6" i="2"/>
  <c r="G16" i="2" s="1"/>
  <c r="F6" i="2"/>
  <c r="F16" i="2" s="1"/>
  <c r="F17" i="2" l="1"/>
  <c r="F18" i="2"/>
  <c r="G17" i="2"/>
  <c r="G18" i="2"/>
  <c r="D18" i="2"/>
</calcChain>
</file>

<file path=xl/sharedStrings.xml><?xml version="1.0" encoding="utf-8"?>
<sst xmlns="http://schemas.openxmlformats.org/spreadsheetml/2006/main" count="148" uniqueCount="55">
  <si>
    <t>Average</t>
  </si>
  <si>
    <t xml:space="preserve">Min and Max values for calculated parameters </t>
  </si>
  <si>
    <t>Min</t>
  </si>
  <si>
    <t>Max</t>
  </si>
  <si>
    <t xml:space="preserve">Density </t>
  </si>
  <si>
    <t>Poisson´s ratio</t>
  </si>
  <si>
    <t>E-modulus intact rock</t>
  </si>
  <si>
    <t>G-modulus intact rock</t>
  </si>
  <si>
    <t>K-modulus intact rock</t>
  </si>
  <si>
    <t>E-modulus rock mass</t>
  </si>
  <si>
    <t>G-modulus rock mass</t>
  </si>
  <si>
    <t>K-modulus rock mass</t>
  </si>
  <si>
    <t>Uniax tensile strength rock mass</t>
  </si>
  <si>
    <t>Uniax tensile strength</t>
  </si>
  <si>
    <t>Uniax compressive strength</t>
  </si>
  <si>
    <t>Average + deviation min</t>
  </si>
  <si>
    <t>Average + deviation max</t>
  </si>
  <si>
    <t>Dilatational wave velo</t>
  </si>
  <si>
    <t>Unfrozen</t>
  </si>
  <si>
    <t>Frozen</t>
  </si>
  <si>
    <t>s</t>
  </si>
  <si>
    <t>GSI</t>
  </si>
  <si>
    <t>D</t>
  </si>
  <si>
    <t>Schmidt hammer rebound R</t>
  </si>
  <si>
    <t>Schmidt hammer rebound r</t>
  </si>
  <si>
    <t>Joint basic friction angle</t>
  </si>
  <si>
    <t>Joint residual friction angle</t>
  </si>
  <si>
    <t>Joint shear stiffness K1</t>
  </si>
  <si>
    <t>Joint normal stiffness K1</t>
  </si>
  <si>
    <t>Joint shear stiffness K3</t>
  </si>
  <si>
    <t>Joint normal stiffness K3</t>
  </si>
  <si>
    <t>Joint shear stiffness K4</t>
  </si>
  <si>
    <t>Joint normal stiffness K4</t>
  </si>
  <si>
    <t>True spacing K1</t>
  </si>
  <si>
    <t>True spacing K3</t>
  </si>
  <si>
    <t>True spacing K4</t>
  </si>
  <si>
    <t>5 times bigger than in reality</t>
  </si>
  <si>
    <t>True spacing K2</t>
  </si>
  <si>
    <t>Joint frequency K1</t>
  </si>
  <si>
    <t>Joint frequency K2</t>
  </si>
  <si>
    <t>Joint frequency K3</t>
  </si>
  <si>
    <t>Joint frequency K4</t>
  </si>
  <si>
    <t>Friction angle rock-ice-rock: -4°C</t>
  </si>
  <si>
    <t>Friction angle rock-ice-rock: -3°C</t>
  </si>
  <si>
    <t>Friction angle rock-ice-rock: -2°C</t>
  </si>
  <si>
    <t>Friction angle rock-ice-rock: -1°C</t>
  </si>
  <si>
    <t>Friction angle rock-ice-rock: -0.5°C</t>
  </si>
  <si>
    <t>Cohesion rock-ice-rock: -4°C</t>
  </si>
  <si>
    <t>Cohesion rock-ice-rock: -3°C</t>
  </si>
  <si>
    <t>Cohesion rock-ice-rock: -2°C</t>
  </si>
  <si>
    <t>Cohesion rock-ice-rock: -1°C</t>
  </si>
  <si>
    <t>Cohesion rock-ice-rock: -0.5°C</t>
  </si>
  <si>
    <t>Temp.</t>
  </si>
  <si>
    <r>
      <t>m</t>
    </r>
    <r>
      <rPr>
        <b/>
        <vertAlign val="subscript"/>
        <sz val="11"/>
        <rFont val="Calibri"/>
        <family val="2"/>
        <scheme val="minor"/>
      </rPr>
      <t>b</t>
    </r>
  </si>
  <si>
    <r>
      <t>m</t>
    </r>
    <r>
      <rPr>
        <b/>
        <vertAlign val="subscript"/>
        <sz val="11"/>
        <rFont val="Calibri"/>
        <family val="2"/>
        <scheme val="minor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</si>
</sst>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1" fillId="0" borderId="0" xfId="0" applyFont="1" applyFill="1" applyBorder="1"/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/>
    <xf numFmtId="0" fontId="4" fillId="0" borderId="1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2" fontId="2" fillId="0" borderId="6" xfId="0" applyNumberFormat="1" applyFont="1" applyFill="1" applyBorder="1" applyAlignment="1">
      <alignment horizontal="left" vertical="center"/>
    </xf>
    <xf numFmtId="2" fontId="2" fillId="0" borderId="5" xfId="0" applyNumberFormat="1" applyFont="1" applyFill="1" applyBorder="1" applyAlignment="1">
      <alignment horizontal="left" vertical="center"/>
    </xf>
    <xf numFmtId="2" fontId="2" fillId="0" borderId="3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left" vertical="center"/>
    </xf>
    <xf numFmtId="2" fontId="2" fillId="0" borderId="10" xfId="0" applyNumberFormat="1" applyFont="1" applyFill="1" applyBorder="1" applyAlignment="1">
      <alignment horizontal="left" vertical="center"/>
    </xf>
    <xf numFmtId="2" fontId="2" fillId="0" borderId="8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65" fontId="2" fillId="0" borderId="0" xfId="0" applyNumberFormat="1" applyFont="1" applyFill="1" applyAlignment="1">
      <alignment horizontal="left" vertical="center"/>
    </xf>
    <xf numFmtId="165" fontId="2" fillId="0" borderId="3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4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left" vertical="center"/>
    </xf>
    <xf numFmtId="1" fontId="2" fillId="0" borderId="8" xfId="0" applyNumberFormat="1" applyFont="1" applyFill="1" applyBorder="1" applyAlignment="1">
      <alignment horizontal="left" vertical="center"/>
    </xf>
    <xf numFmtId="0" fontId="2" fillId="0" borderId="8" xfId="0" applyFont="1" applyFill="1" applyBorder="1"/>
    <xf numFmtId="0" fontId="2" fillId="0" borderId="10" xfId="0" applyFont="1" applyFill="1" applyBorder="1"/>
    <xf numFmtId="0" fontId="4" fillId="0" borderId="0" xfId="0" applyFont="1" applyFill="1"/>
    <xf numFmtId="0" fontId="4" fillId="0" borderId="8" xfId="0" applyFont="1" applyFill="1" applyBorder="1"/>
    <xf numFmtId="0" fontId="4" fillId="0" borderId="6" xfId="0" applyFont="1" applyFill="1" applyBorder="1"/>
    <xf numFmtId="0" fontId="4" fillId="0" borderId="2" xfId="0" applyFont="1" applyFill="1" applyBorder="1"/>
    <xf numFmtId="165" fontId="2" fillId="0" borderId="10" xfId="0" applyNumberFormat="1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12" xfId="0" applyFont="1" applyFill="1" applyBorder="1"/>
    <xf numFmtId="0" fontId="4" fillId="0" borderId="12" xfId="0" applyFont="1" applyFill="1" applyBorder="1"/>
    <xf numFmtId="0" fontId="4" fillId="0" borderId="0" xfId="0" applyFont="1" applyFill="1" applyBorder="1"/>
    <xf numFmtId="2" fontId="2" fillId="0" borderId="0" xfId="0" applyNumberFormat="1" applyFont="1" applyFill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zoomScaleNormal="100" workbookViewId="0">
      <pane ySplit="4" topLeftCell="A5" activePane="bottomLeft" state="frozen"/>
      <selection pane="bottomLeft" activeCell="I65" sqref="I65"/>
    </sheetView>
  </sheetViews>
  <sheetFormatPr baseColWidth="10" defaultRowHeight="15" x14ac:dyDescent="0.25"/>
  <cols>
    <col min="1" max="1" width="31.7109375" style="9" customWidth="1"/>
    <col min="2" max="2" width="19.42578125" style="9" customWidth="1"/>
    <col min="3" max="3" width="19.28515625" style="9" customWidth="1"/>
    <col min="4" max="7" width="20.7109375" style="9" customWidth="1"/>
  </cols>
  <sheetData>
    <row r="1" spans="1:12" ht="18.75" x14ac:dyDescent="0.3">
      <c r="A1" s="8" t="s">
        <v>1</v>
      </c>
      <c r="B1" s="8"/>
      <c r="C1" s="8"/>
    </row>
    <row r="2" spans="1:12" ht="18.75" x14ac:dyDescent="0.3">
      <c r="A2" s="8"/>
      <c r="B2" s="8"/>
      <c r="C2" s="8"/>
    </row>
    <row r="3" spans="1:12" ht="18.75" x14ac:dyDescent="0.3">
      <c r="A3" s="8"/>
      <c r="B3" s="10" t="s">
        <v>18</v>
      </c>
      <c r="C3" s="11" t="s">
        <v>19</v>
      </c>
      <c r="D3" s="12" t="s">
        <v>18</v>
      </c>
      <c r="E3" s="12"/>
      <c r="F3" s="13" t="s">
        <v>19</v>
      </c>
      <c r="G3" s="14"/>
    </row>
    <row r="4" spans="1:12" ht="30" x14ac:dyDescent="0.25">
      <c r="A4" s="15"/>
      <c r="B4" s="16" t="s">
        <v>0</v>
      </c>
      <c r="C4" s="17" t="s">
        <v>0</v>
      </c>
      <c r="D4" s="16" t="s">
        <v>15</v>
      </c>
      <c r="E4" s="16" t="s">
        <v>16</v>
      </c>
      <c r="F4" s="18" t="s">
        <v>15</v>
      </c>
      <c r="G4" s="19" t="s">
        <v>16</v>
      </c>
      <c r="H4" s="1"/>
      <c r="I4" s="1"/>
      <c r="J4" s="1"/>
      <c r="K4" s="1"/>
      <c r="L4" s="1"/>
    </row>
    <row r="5" spans="1:12" x14ac:dyDescent="0.25">
      <c r="A5" s="21" t="s">
        <v>4</v>
      </c>
      <c r="B5" s="22">
        <v>2.7</v>
      </c>
      <c r="C5" s="23">
        <v>2.7</v>
      </c>
      <c r="D5" s="22">
        <v>2.69</v>
      </c>
      <c r="E5" s="22">
        <v>2.71</v>
      </c>
      <c r="F5" s="24">
        <v>2.69</v>
      </c>
      <c r="G5" s="23">
        <v>2.71</v>
      </c>
      <c r="H5" s="2"/>
      <c r="I5" s="2"/>
      <c r="J5" s="2"/>
      <c r="K5" s="2"/>
      <c r="L5" s="2"/>
    </row>
    <row r="6" spans="1:12" x14ac:dyDescent="0.25">
      <c r="A6" s="25" t="s">
        <v>17</v>
      </c>
      <c r="B6" s="26">
        <v>4950</v>
      </c>
      <c r="C6" s="27">
        <v>5560</v>
      </c>
      <c r="D6" s="20">
        <f>4950-400</f>
        <v>4550</v>
      </c>
      <c r="E6" s="20">
        <f>4950+400</f>
        <v>5350</v>
      </c>
      <c r="F6" s="28">
        <f>5560-50</f>
        <v>5510</v>
      </c>
      <c r="G6" s="27">
        <f>5560+50</f>
        <v>5610</v>
      </c>
      <c r="H6" s="1"/>
      <c r="I6" s="1"/>
      <c r="J6" s="1"/>
      <c r="K6" s="1"/>
      <c r="L6" s="1"/>
    </row>
    <row r="7" spans="1:12" x14ac:dyDescent="0.25">
      <c r="A7" s="25" t="s">
        <v>5</v>
      </c>
      <c r="B7" s="26">
        <v>0.3</v>
      </c>
      <c r="C7" s="27">
        <v>0.3</v>
      </c>
      <c r="D7" s="20">
        <v>0.27</v>
      </c>
      <c r="E7" s="20">
        <v>0.33</v>
      </c>
      <c r="F7" s="28">
        <v>0.28999999999999998</v>
      </c>
      <c r="G7" s="27">
        <v>0.31</v>
      </c>
      <c r="H7" s="1"/>
      <c r="I7" s="1"/>
      <c r="J7" s="1"/>
      <c r="K7" s="1"/>
      <c r="L7" s="1"/>
    </row>
    <row r="8" spans="1:12" x14ac:dyDescent="0.25">
      <c r="A8" s="25" t="s">
        <v>13</v>
      </c>
      <c r="B8" s="26">
        <v>7.2</v>
      </c>
      <c r="C8" s="27">
        <v>9</v>
      </c>
      <c r="D8" s="20">
        <f>7.2-1.9</f>
        <v>5.3000000000000007</v>
      </c>
      <c r="E8" s="20">
        <f>7.2+1.9</f>
        <v>9.1</v>
      </c>
      <c r="F8" s="28">
        <f>9-1.4</f>
        <v>7.6</v>
      </c>
      <c r="G8" s="27">
        <f>9+1.4</f>
        <v>10.4</v>
      </c>
      <c r="H8" s="1"/>
      <c r="I8" s="1"/>
      <c r="J8" s="1"/>
      <c r="K8" s="1"/>
      <c r="L8" s="1"/>
    </row>
    <row r="9" spans="1:12" x14ac:dyDescent="0.25">
      <c r="A9" s="25" t="s">
        <v>14</v>
      </c>
      <c r="B9" s="26">
        <v>91</v>
      </c>
      <c r="C9" s="27">
        <v>109</v>
      </c>
      <c r="D9" s="20">
        <f>91-27</f>
        <v>64</v>
      </c>
      <c r="E9" s="20">
        <f>91+27</f>
        <v>118</v>
      </c>
      <c r="F9" s="28">
        <f>109-25</f>
        <v>84</v>
      </c>
      <c r="G9" s="27">
        <f>109+25</f>
        <v>134</v>
      </c>
      <c r="H9" s="1"/>
      <c r="I9" s="1"/>
      <c r="J9" s="1"/>
      <c r="K9" s="1"/>
      <c r="L9" s="1"/>
    </row>
    <row r="10" spans="1:12" ht="18" x14ac:dyDescent="0.25">
      <c r="A10" s="21" t="s">
        <v>53</v>
      </c>
      <c r="B10" s="29">
        <v>2.5785399999999998</v>
      </c>
      <c r="C10" s="31">
        <v>2.5785399999999998</v>
      </c>
      <c r="D10" s="29">
        <f>D14*EXP((D12-100)/(28-14*D13))</f>
        <v>2.5785431717417109</v>
      </c>
      <c r="E10" s="31">
        <v>2.5785399999999998</v>
      </c>
      <c r="F10" s="29">
        <v>2.5785399999999998</v>
      </c>
      <c r="G10" s="31">
        <v>2.5785399999999998</v>
      </c>
      <c r="H10" s="1"/>
      <c r="I10" s="1"/>
      <c r="J10" s="1"/>
      <c r="K10" s="1"/>
      <c r="L10" s="1"/>
    </row>
    <row r="11" spans="1:12" x14ac:dyDescent="0.25">
      <c r="A11" s="25" t="s">
        <v>20</v>
      </c>
      <c r="B11" s="32">
        <v>2.0469999999999999E-2</v>
      </c>
      <c r="C11" s="34">
        <v>2.0469999999999999E-2</v>
      </c>
      <c r="D11" s="32">
        <f>EXP((D12-100)/(9-3*D13))</f>
        <v>2.0468075714350484E-2</v>
      </c>
      <c r="E11" s="34">
        <f t="shared" ref="E11:G11" si="0">EXP((E12-100)/(9-3*E13))</f>
        <v>2.0468075714350484E-2</v>
      </c>
      <c r="F11" s="32">
        <f t="shared" si="0"/>
        <v>2.0468075714350484E-2</v>
      </c>
      <c r="G11" s="34">
        <f t="shared" si="0"/>
        <v>2.0468075714350484E-2</v>
      </c>
      <c r="H11" s="1"/>
      <c r="I11" s="1"/>
      <c r="J11" s="1"/>
      <c r="K11" s="1"/>
      <c r="L11" s="1"/>
    </row>
    <row r="12" spans="1:12" x14ac:dyDescent="0.25">
      <c r="A12" s="25" t="s">
        <v>21</v>
      </c>
      <c r="B12" s="26">
        <v>65</v>
      </c>
      <c r="C12" s="27">
        <v>65</v>
      </c>
      <c r="D12" s="26">
        <v>65</v>
      </c>
      <c r="E12" s="27">
        <v>65</v>
      </c>
      <c r="F12" s="26">
        <v>65</v>
      </c>
      <c r="G12" s="27">
        <v>65</v>
      </c>
      <c r="H12" s="1"/>
      <c r="I12" s="1"/>
      <c r="J12" s="1"/>
      <c r="K12" s="1"/>
      <c r="L12" s="1"/>
    </row>
    <row r="13" spans="1:12" x14ac:dyDescent="0.25">
      <c r="A13" s="25" t="s">
        <v>22</v>
      </c>
      <c r="B13" s="26">
        <v>0</v>
      </c>
      <c r="C13" s="27">
        <v>0</v>
      </c>
      <c r="D13" s="26">
        <v>0</v>
      </c>
      <c r="E13" s="27">
        <v>0</v>
      </c>
      <c r="F13" s="26">
        <v>0</v>
      </c>
      <c r="G13" s="27">
        <v>0</v>
      </c>
      <c r="H13" s="1"/>
      <c r="I13" s="1"/>
      <c r="J13" s="1"/>
      <c r="K13" s="1"/>
      <c r="L13" s="1"/>
    </row>
    <row r="14" spans="1:12" ht="18" x14ac:dyDescent="0.25">
      <c r="A14" s="25" t="s">
        <v>54</v>
      </c>
      <c r="B14" s="26">
        <v>9</v>
      </c>
      <c r="C14" s="35">
        <v>9</v>
      </c>
      <c r="D14" s="26">
        <v>9</v>
      </c>
      <c r="E14" s="35">
        <v>9</v>
      </c>
      <c r="F14" s="26">
        <v>9</v>
      </c>
      <c r="G14" s="35">
        <v>9</v>
      </c>
      <c r="H14" s="1"/>
      <c r="I14" s="1"/>
      <c r="J14" s="1"/>
      <c r="K14" s="1"/>
      <c r="L14" s="1"/>
    </row>
    <row r="15" spans="1:12" x14ac:dyDescent="0.25">
      <c r="A15" s="36"/>
      <c r="B15" s="37"/>
      <c r="C15" s="38"/>
      <c r="D15" s="39" t="s">
        <v>2</v>
      </c>
      <c r="E15" s="40" t="s">
        <v>3</v>
      </c>
      <c r="F15" s="41" t="s">
        <v>2</v>
      </c>
      <c r="G15" s="36" t="s">
        <v>3</v>
      </c>
      <c r="H15" s="3"/>
      <c r="I15" s="3"/>
      <c r="J15" s="3"/>
      <c r="K15" s="3"/>
      <c r="L15" s="3"/>
    </row>
    <row r="16" spans="1:12" x14ac:dyDescent="0.25">
      <c r="A16" s="25" t="s">
        <v>6</v>
      </c>
      <c r="B16" s="26">
        <v>67.099999999999994</v>
      </c>
      <c r="C16" s="27">
        <v>84.3</v>
      </c>
      <c r="D16" s="42">
        <f>(D5*D6^2)/1000000</f>
        <v>55.689725000000003</v>
      </c>
      <c r="E16" s="43">
        <f>(E5*E6^2)/1000000</f>
        <v>77.566974999999999</v>
      </c>
      <c r="F16" s="42">
        <f>(F5*F6^2)/1000000</f>
        <v>81.668668999999994</v>
      </c>
      <c r="G16" s="43">
        <f>(G5*G6^2)/1000000</f>
        <v>85.289390999999995</v>
      </c>
      <c r="H16" s="1"/>
      <c r="I16" s="1"/>
      <c r="J16" s="1"/>
      <c r="K16" s="1"/>
      <c r="L16" s="1"/>
    </row>
    <row r="17" spans="1:12" x14ac:dyDescent="0.25">
      <c r="A17" s="25" t="s">
        <v>7</v>
      </c>
      <c r="B17" s="44">
        <f t="shared" ref="B17:G17" si="1">B16/(2*(1+B7))</f>
        <v>25.807692307692303</v>
      </c>
      <c r="C17" s="45">
        <f t="shared" si="1"/>
        <v>32.42307692307692</v>
      </c>
      <c r="D17" s="44">
        <f t="shared" si="1"/>
        <v>21.925088582677166</v>
      </c>
      <c r="E17" s="45">
        <f t="shared" si="1"/>
        <v>29.160516917293233</v>
      </c>
      <c r="F17" s="44">
        <f t="shared" si="1"/>
        <v>31.65452286821705</v>
      </c>
      <c r="G17" s="45">
        <f t="shared" si="1"/>
        <v>32.55320267175572</v>
      </c>
      <c r="H17" s="1"/>
      <c r="I17" s="1"/>
      <c r="J17" s="1"/>
      <c r="K17" s="1"/>
      <c r="L17" s="1"/>
    </row>
    <row r="18" spans="1:12" x14ac:dyDescent="0.25">
      <c r="A18" s="46" t="s">
        <v>8</v>
      </c>
      <c r="B18" s="47">
        <f t="shared" ref="B18:G18" si="2">B16/(3*(1-2*B7))</f>
        <v>55.916666666666657</v>
      </c>
      <c r="C18" s="48">
        <f t="shared" si="2"/>
        <v>70.249999999999986</v>
      </c>
      <c r="D18" s="47">
        <f t="shared" si="2"/>
        <v>40.354873188405804</v>
      </c>
      <c r="E18" s="48">
        <f t="shared" si="2"/>
        <v>76.046053921568628</v>
      </c>
      <c r="F18" s="47">
        <f t="shared" si="2"/>
        <v>64.816403968253951</v>
      </c>
      <c r="G18" s="48">
        <f t="shared" si="2"/>
        <v>74.81525526315788</v>
      </c>
      <c r="H18" s="1"/>
      <c r="I18" s="1"/>
      <c r="J18" s="1"/>
      <c r="K18" s="1"/>
      <c r="L18" s="1"/>
    </row>
    <row r="19" spans="1:12" x14ac:dyDescent="0.25">
      <c r="A19" s="25" t="s">
        <v>9</v>
      </c>
      <c r="B19" s="44">
        <f t="shared" ref="B19:G19" si="3">(1-(B13/2))*SQRT(B9/100)*10^((B12-10)/40)</f>
        <v>22.62146339040023</v>
      </c>
      <c r="C19" s="45">
        <f t="shared" si="3"/>
        <v>24.757868334278719</v>
      </c>
      <c r="D19" s="44">
        <f t="shared" si="3"/>
        <v>18.970989645293248</v>
      </c>
      <c r="E19" s="45">
        <f t="shared" si="3"/>
        <v>25.759712027206596</v>
      </c>
      <c r="F19" s="44">
        <f t="shared" si="3"/>
        <v>21.733999014444937</v>
      </c>
      <c r="G19" s="45">
        <f t="shared" si="3"/>
        <v>27.450635252304604</v>
      </c>
      <c r="H19" s="1"/>
      <c r="I19" s="1"/>
      <c r="J19" s="1"/>
      <c r="K19" s="1"/>
      <c r="L19" s="1"/>
    </row>
    <row r="20" spans="1:12" x14ac:dyDescent="0.25">
      <c r="A20" s="25" t="s">
        <v>10</v>
      </c>
      <c r="B20" s="44">
        <f t="shared" ref="B20:G20" si="4">B19/(2*(1+B7))</f>
        <v>8.7005628424616273</v>
      </c>
      <c r="C20" s="45">
        <f t="shared" si="4"/>
        <v>9.5222570516456599</v>
      </c>
      <c r="D20" s="44">
        <f t="shared" si="4"/>
        <v>7.4688935611390734</v>
      </c>
      <c r="E20" s="45">
        <f t="shared" si="4"/>
        <v>9.684102265867141</v>
      </c>
      <c r="F20" s="44">
        <f t="shared" si="4"/>
        <v>8.4240306257538506</v>
      </c>
      <c r="G20" s="45">
        <f t="shared" si="4"/>
        <v>10.477341699352902</v>
      </c>
      <c r="H20" s="1"/>
      <c r="I20" s="1"/>
      <c r="J20" s="1"/>
      <c r="K20" s="1"/>
      <c r="L20" s="1"/>
    </row>
    <row r="21" spans="1:12" x14ac:dyDescent="0.25">
      <c r="A21" s="25" t="s">
        <v>11</v>
      </c>
      <c r="B21" s="44">
        <f t="shared" ref="B21:G21" si="5">B19/(3*(1-(2*B7)))</f>
        <v>18.85121949200019</v>
      </c>
      <c r="C21" s="45">
        <f t="shared" si="5"/>
        <v>20.631556945232262</v>
      </c>
      <c r="D21" s="44">
        <f t="shared" si="5"/>
        <v>13.747093945864673</v>
      </c>
      <c r="E21" s="45">
        <f t="shared" si="5"/>
        <v>25.254619634516271</v>
      </c>
      <c r="F21" s="44">
        <f t="shared" si="5"/>
        <v>17.249205567019789</v>
      </c>
      <c r="G21" s="45">
        <f t="shared" si="5"/>
        <v>24.079504607284736</v>
      </c>
      <c r="H21" s="1"/>
      <c r="I21" s="1"/>
      <c r="J21" s="1"/>
      <c r="K21" s="1"/>
      <c r="L21" s="1"/>
    </row>
    <row r="22" spans="1:12" x14ac:dyDescent="0.25">
      <c r="A22" s="19" t="s">
        <v>12</v>
      </c>
      <c r="B22" s="49">
        <f t="shared" ref="B22:G22" si="6">0.5*B9*(B10-(B10^2+4*B11)^0.5)</f>
        <v>-0.72020216755188726</v>
      </c>
      <c r="C22" s="50">
        <f t="shared" si="6"/>
        <v>-0.86265973915555727</v>
      </c>
      <c r="D22" s="49">
        <f t="shared" si="6"/>
        <v>-0.50646772110400207</v>
      </c>
      <c r="E22" s="50">
        <f t="shared" si="6"/>
        <v>-0.93380100240185104</v>
      </c>
      <c r="F22" s="49">
        <f t="shared" si="6"/>
        <v>-0.66473969662504651</v>
      </c>
      <c r="G22" s="50">
        <f t="shared" si="6"/>
        <v>-1.0604180874732885</v>
      </c>
      <c r="H22" s="1"/>
      <c r="I22" s="1"/>
      <c r="J22" s="1"/>
      <c r="K22" s="1"/>
      <c r="L22" s="1"/>
    </row>
    <row r="23" spans="1:12" x14ac:dyDescent="0.25">
      <c r="A23" s="27"/>
      <c r="B23" s="26"/>
      <c r="C23" s="27"/>
      <c r="D23" s="20"/>
      <c r="E23" s="20"/>
      <c r="F23" s="28"/>
      <c r="G23" s="27"/>
      <c r="H23" s="1"/>
      <c r="I23" s="1"/>
      <c r="J23" s="1"/>
      <c r="K23" s="1"/>
      <c r="L23" s="1"/>
    </row>
    <row r="24" spans="1:12" x14ac:dyDescent="0.25">
      <c r="A24" s="27"/>
      <c r="B24" s="26"/>
      <c r="C24" s="27"/>
      <c r="D24" s="20"/>
      <c r="E24" s="20"/>
      <c r="F24" s="28"/>
      <c r="G24" s="27"/>
      <c r="H24" s="1"/>
      <c r="I24" s="1"/>
      <c r="J24" s="1"/>
      <c r="K24" s="1"/>
      <c r="L24" s="1"/>
    </row>
    <row r="25" spans="1:12" x14ac:dyDescent="0.25">
      <c r="A25" s="27"/>
      <c r="B25" s="26"/>
      <c r="C25" s="27"/>
      <c r="D25" s="20"/>
      <c r="E25" s="20"/>
      <c r="F25" s="28"/>
      <c r="G25" s="27"/>
      <c r="H25" s="1"/>
      <c r="I25" s="1"/>
      <c r="J25" s="1"/>
      <c r="K25" s="1"/>
      <c r="L25" s="1"/>
    </row>
    <row r="26" spans="1:12" x14ac:dyDescent="0.25">
      <c r="A26" s="25" t="s">
        <v>23</v>
      </c>
      <c r="B26" s="20">
        <v>51.9</v>
      </c>
      <c r="C26" s="27">
        <v>55</v>
      </c>
      <c r="D26" s="26">
        <f>B26-1</f>
        <v>50.9</v>
      </c>
      <c r="E26" s="27">
        <f>B26+1</f>
        <v>52.9</v>
      </c>
      <c r="F26" s="26">
        <f>C26-1</f>
        <v>54</v>
      </c>
      <c r="G26" s="27">
        <f>C26+1</f>
        <v>56</v>
      </c>
      <c r="H26" s="1"/>
      <c r="I26" s="1"/>
      <c r="J26" s="1"/>
      <c r="K26" s="1"/>
      <c r="L26" s="1"/>
    </row>
    <row r="27" spans="1:12" x14ac:dyDescent="0.25">
      <c r="A27" s="25" t="s">
        <v>24</v>
      </c>
      <c r="B27" s="20">
        <v>52.1</v>
      </c>
      <c r="C27" s="27">
        <v>53</v>
      </c>
      <c r="D27" s="26">
        <f>B27-0.8</f>
        <v>51.300000000000004</v>
      </c>
      <c r="E27" s="27">
        <f>B27+0.8</f>
        <v>52.9</v>
      </c>
      <c r="F27" s="26">
        <f>C27-2.1</f>
        <v>50.9</v>
      </c>
      <c r="G27" s="27">
        <f>C27+2.1</f>
        <v>55.1</v>
      </c>
      <c r="H27" s="1"/>
      <c r="I27" s="1"/>
      <c r="J27" s="1"/>
      <c r="K27" s="1"/>
      <c r="L27" s="1"/>
    </row>
    <row r="28" spans="1:12" x14ac:dyDescent="0.25">
      <c r="A28" s="25" t="s">
        <v>25</v>
      </c>
      <c r="B28" s="20">
        <v>30</v>
      </c>
      <c r="C28" s="27">
        <v>38.299999999999997</v>
      </c>
      <c r="D28" s="20">
        <f>B28-4.7</f>
        <v>25.3</v>
      </c>
      <c r="E28" s="27">
        <f>B28+4.7</f>
        <v>34.700000000000003</v>
      </c>
      <c r="F28" s="20">
        <f>C28-4.4</f>
        <v>33.9</v>
      </c>
      <c r="G28" s="27">
        <f>C28+4.4</f>
        <v>42.699999999999996</v>
      </c>
      <c r="H28" s="1"/>
      <c r="I28" s="1"/>
      <c r="J28" s="1"/>
      <c r="K28" s="1"/>
      <c r="L28" s="1"/>
    </row>
    <row r="29" spans="1:12" x14ac:dyDescent="0.25">
      <c r="A29" s="25" t="s">
        <v>33</v>
      </c>
      <c r="B29" s="20">
        <v>1.35</v>
      </c>
      <c r="C29" s="27">
        <v>1.35</v>
      </c>
      <c r="D29" s="20">
        <v>1.35</v>
      </c>
      <c r="E29" s="27">
        <v>1.35</v>
      </c>
      <c r="F29" s="20">
        <v>1.35</v>
      </c>
      <c r="G29" s="27">
        <v>1.35</v>
      </c>
      <c r="H29" s="6" t="s">
        <v>36</v>
      </c>
      <c r="I29" s="1"/>
      <c r="J29" s="1"/>
      <c r="K29" s="1"/>
      <c r="L29" s="1"/>
    </row>
    <row r="30" spans="1:12" x14ac:dyDescent="0.25">
      <c r="A30" s="25" t="s">
        <v>34</v>
      </c>
      <c r="B30" s="20">
        <v>3.15</v>
      </c>
      <c r="C30" s="27">
        <v>3.15</v>
      </c>
      <c r="D30" s="20">
        <v>3.15</v>
      </c>
      <c r="E30" s="27">
        <v>3.15</v>
      </c>
      <c r="F30" s="20">
        <v>3.15</v>
      </c>
      <c r="G30" s="27">
        <v>3.15</v>
      </c>
      <c r="H30" s="6"/>
      <c r="I30" s="1"/>
      <c r="J30" s="1"/>
      <c r="K30" s="1"/>
      <c r="L30" s="1"/>
    </row>
    <row r="31" spans="1:12" x14ac:dyDescent="0.25">
      <c r="A31" s="25" t="s">
        <v>35</v>
      </c>
      <c r="B31" s="20">
        <v>2.7</v>
      </c>
      <c r="C31" s="35">
        <v>2.7</v>
      </c>
      <c r="D31" s="20">
        <v>2.7</v>
      </c>
      <c r="E31" s="35">
        <v>2.7</v>
      </c>
      <c r="F31" s="20">
        <v>2.7</v>
      </c>
      <c r="G31" s="35">
        <v>2.7</v>
      </c>
      <c r="H31" s="7"/>
      <c r="I31" s="1"/>
      <c r="J31" s="1"/>
      <c r="K31" s="1"/>
      <c r="L31" s="1"/>
    </row>
    <row r="32" spans="1:12" x14ac:dyDescent="0.25">
      <c r="A32" s="38"/>
      <c r="B32" s="37"/>
      <c r="C32" s="38"/>
      <c r="D32" s="40" t="s">
        <v>2</v>
      </c>
      <c r="E32" s="36" t="s">
        <v>3</v>
      </c>
      <c r="F32" s="40" t="s">
        <v>2</v>
      </c>
      <c r="G32" s="36" t="s">
        <v>3</v>
      </c>
      <c r="H32" s="3"/>
      <c r="I32" s="3"/>
      <c r="J32" s="3"/>
      <c r="K32" s="1"/>
      <c r="L32" s="1"/>
    </row>
    <row r="33" spans="1:12" x14ac:dyDescent="0.25">
      <c r="A33" s="25" t="s">
        <v>26</v>
      </c>
      <c r="B33" s="42">
        <f t="shared" ref="B33:G33" si="7">(B28-20)+20*(B27/B26)</f>
        <v>30.077071290944126</v>
      </c>
      <c r="C33" s="43">
        <f t="shared" si="7"/>
        <v>37.572727272727271</v>
      </c>
      <c r="D33" s="42">
        <f t="shared" si="7"/>
        <v>25.457170923379177</v>
      </c>
      <c r="E33" s="43">
        <f t="shared" si="7"/>
        <v>34.700000000000003</v>
      </c>
      <c r="F33" s="42">
        <f t="shared" si="7"/>
        <v>32.751851851851853</v>
      </c>
      <c r="G33" s="43">
        <f t="shared" si="7"/>
        <v>42.378571428571426</v>
      </c>
      <c r="H33" s="1"/>
      <c r="I33" s="1"/>
      <c r="J33" s="1"/>
      <c r="K33" s="1"/>
      <c r="L33" s="1"/>
    </row>
    <row r="34" spans="1:12" x14ac:dyDescent="0.25">
      <c r="A34" s="25" t="s">
        <v>27</v>
      </c>
      <c r="B34" s="53">
        <f>((B20*1000)*(B17*1000))/(B29*((B17*1000)-(B20*1000)))</f>
        <v>9722.6714397755477</v>
      </c>
      <c r="C34" s="54">
        <f t="shared" ref="C34:G34" si="8">((C20*1000)*(C17*1000))/(C29*((C17*1000)-(C20*1000)))</f>
        <v>9986.4085280898325</v>
      </c>
      <c r="D34" s="53">
        <f t="shared" si="8"/>
        <v>8390.9254026251274</v>
      </c>
      <c r="E34" s="54">
        <f t="shared" si="8"/>
        <v>10740.186053012671</v>
      </c>
      <c r="F34" s="53">
        <f t="shared" si="8"/>
        <v>8502.8306220307422</v>
      </c>
      <c r="G34" s="54">
        <f t="shared" si="8"/>
        <v>11444.410077315359</v>
      </c>
      <c r="H34" s="1"/>
      <c r="I34" s="1"/>
      <c r="J34" s="1"/>
      <c r="K34" s="1"/>
      <c r="L34" s="1"/>
    </row>
    <row r="35" spans="1:12" x14ac:dyDescent="0.25">
      <c r="A35" s="25" t="s">
        <v>28</v>
      </c>
      <c r="B35" s="53">
        <f>((B19*1000)*(B16*1000))/(B29*((B16*1000)-(B19*1000)))</f>
        <v>25278.945743416418</v>
      </c>
      <c r="C35" s="54">
        <f t="shared" ref="C35:G35" si="9">((C19*1000)*(C16*1000))/(C29*((C16*1000)-(C19*1000)))</f>
        <v>25964.662173033568</v>
      </c>
      <c r="D35" s="53">
        <f t="shared" si="9"/>
        <v>21312.950522667823</v>
      </c>
      <c r="E35" s="54">
        <f t="shared" si="9"/>
        <v>28568.8949010137</v>
      </c>
      <c r="F35" s="53">
        <f t="shared" si="9"/>
        <v>21937.303004839323</v>
      </c>
      <c r="G35" s="54">
        <f t="shared" si="9"/>
        <v>29984.354402566238</v>
      </c>
      <c r="H35" s="1"/>
      <c r="I35" s="1"/>
      <c r="J35" s="1"/>
      <c r="K35" s="1"/>
      <c r="L35" s="1"/>
    </row>
    <row r="36" spans="1:12" x14ac:dyDescent="0.25">
      <c r="A36" s="25" t="s">
        <v>29</v>
      </c>
      <c r="B36" s="53">
        <f>((B20*1000)*(B17*1000))/(B30*((B17*1000)-(B20*1000)))</f>
        <v>4166.859188475235</v>
      </c>
      <c r="C36" s="54">
        <f t="shared" ref="C36:G36" si="10">((C20*1000)*(C17*1000))/(C30*((C17*1000)-(C20*1000)))</f>
        <v>4279.8893691813573</v>
      </c>
      <c r="D36" s="53">
        <f t="shared" si="10"/>
        <v>3596.1108868393403</v>
      </c>
      <c r="E36" s="54">
        <f t="shared" si="10"/>
        <v>4602.9368798625728</v>
      </c>
      <c r="F36" s="53">
        <f t="shared" si="10"/>
        <v>3644.0702665846047</v>
      </c>
      <c r="G36" s="54">
        <f t="shared" si="10"/>
        <v>4904.7471759922973</v>
      </c>
      <c r="H36" s="1"/>
      <c r="I36" s="1"/>
      <c r="J36" s="1"/>
      <c r="K36" s="1"/>
      <c r="L36" s="1"/>
    </row>
    <row r="37" spans="1:12" x14ac:dyDescent="0.25">
      <c r="A37" s="25" t="s">
        <v>30</v>
      </c>
      <c r="B37" s="53">
        <f>((B19*1000)*(B16*1000))/(B30*((B16*1000)-(B19*1000)))</f>
        <v>10833.833890035608</v>
      </c>
      <c r="C37" s="54">
        <f t="shared" ref="C37:G37" si="11">((C19*1000)*(C16*1000))/(C30*((C16*1000)-(C19*1000)))</f>
        <v>11127.712359871532</v>
      </c>
      <c r="D37" s="53">
        <f t="shared" si="11"/>
        <v>9134.1216525719246</v>
      </c>
      <c r="E37" s="54">
        <f t="shared" si="11"/>
        <v>12243.812100434443</v>
      </c>
      <c r="F37" s="53">
        <f t="shared" si="11"/>
        <v>9401.7012877882826</v>
      </c>
      <c r="G37" s="54">
        <f t="shared" si="11"/>
        <v>12850.437601099817</v>
      </c>
      <c r="H37" s="1"/>
      <c r="I37" s="1"/>
      <c r="J37" s="1"/>
      <c r="K37" s="1"/>
      <c r="L37" s="1"/>
    </row>
    <row r="38" spans="1:12" x14ac:dyDescent="0.25">
      <c r="A38" s="25" t="s">
        <v>31</v>
      </c>
      <c r="B38" s="53">
        <f>((B20*1000)*(B17*1000))/(B31*((B17*1000)-(B20*1000)))</f>
        <v>4861.3357198877738</v>
      </c>
      <c r="C38" s="54">
        <f t="shared" ref="C38:G38" si="12">((C20*1000)*(C17*1000))/(C31*((C17*1000)-(C20*1000)))</f>
        <v>4993.2042640449163</v>
      </c>
      <c r="D38" s="53">
        <f t="shared" si="12"/>
        <v>4195.4627013125637</v>
      </c>
      <c r="E38" s="54">
        <f t="shared" si="12"/>
        <v>5370.0930265063353</v>
      </c>
      <c r="F38" s="53">
        <f t="shared" si="12"/>
        <v>4251.4153110153711</v>
      </c>
      <c r="G38" s="54">
        <f t="shared" si="12"/>
        <v>5722.2050386576793</v>
      </c>
      <c r="H38" s="1"/>
      <c r="I38" s="1"/>
      <c r="J38" s="1"/>
      <c r="K38" s="1"/>
      <c r="L38" s="1"/>
    </row>
    <row r="39" spans="1:12" x14ac:dyDescent="0.25">
      <c r="A39" s="25" t="s">
        <v>32</v>
      </c>
      <c r="B39" s="53">
        <f>((B19*1000)*(B16*1000))/(B31*((B16*1000)-(B19*1000)))</f>
        <v>12639.472871708209</v>
      </c>
      <c r="C39" s="54">
        <f t="shared" ref="C39:G39" si="13">((C19*1000)*(C16*1000))/(C31*((C16*1000)-(C19*1000)))</f>
        <v>12982.331086516784</v>
      </c>
      <c r="D39" s="53">
        <f t="shared" si="13"/>
        <v>10656.475261333911</v>
      </c>
      <c r="E39" s="54">
        <f t="shared" si="13"/>
        <v>14284.44745050685</v>
      </c>
      <c r="F39" s="53">
        <f t="shared" si="13"/>
        <v>10968.651502419661</v>
      </c>
      <c r="G39" s="54">
        <f t="shared" si="13"/>
        <v>14992.177201283119</v>
      </c>
    </row>
    <row r="40" spans="1:12" x14ac:dyDescent="0.25">
      <c r="A40" s="55"/>
      <c r="C40" s="55"/>
      <c r="E40" s="55"/>
      <c r="G40" s="55"/>
    </row>
    <row r="41" spans="1:12" x14ac:dyDescent="0.25">
      <c r="B41" s="56"/>
      <c r="C41" s="55"/>
      <c r="E41" s="55"/>
      <c r="G41" s="55"/>
    </row>
    <row r="42" spans="1:12" x14ac:dyDescent="0.25">
      <c r="B42" s="56"/>
      <c r="C42" s="55"/>
      <c r="D42" s="57" t="s">
        <v>2</v>
      </c>
      <c r="E42" s="58" t="s">
        <v>3</v>
      </c>
      <c r="G42" s="55"/>
    </row>
    <row r="43" spans="1:12" x14ac:dyDescent="0.25">
      <c r="A43" s="59" t="s">
        <v>33</v>
      </c>
      <c r="B43" s="24">
        <v>0.27</v>
      </c>
      <c r="C43" s="22"/>
      <c r="D43" s="24">
        <f>B43-0.3</f>
        <v>-2.9999999999999971E-2</v>
      </c>
      <c r="E43" s="22">
        <f>B43+0.3</f>
        <v>0.57000000000000006</v>
      </c>
      <c r="F43" s="24"/>
      <c r="G43" s="55"/>
    </row>
    <row r="44" spans="1:12" x14ac:dyDescent="0.25">
      <c r="A44" s="57" t="s">
        <v>37</v>
      </c>
      <c r="B44" s="28">
        <v>0.8</v>
      </c>
      <c r="C44" s="20"/>
      <c r="D44" s="28">
        <f>B44-0.6</f>
        <v>0.20000000000000007</v>
      </c>
      <c r="E44" s="27">
        <f>B44+0.6</f>
        <v>1.4</v>
      </c>
      <c r="F44" s="26"/>
    </row>
    <row r="45" spans="1:12" x14ac:dyDescent="0.25">
      <c r="A45" s="57" t="s">
        <v>34</v>
      </c>
      <c r="B45" s="28">
        <v>0.54</v>
      </c>
      <c r="C45" s="20"/>
      <c r="D45" s="28">
        <f>B45-0.6</f>
        <v>-5.9999999999999942E-2</v>
      </c>
      <c r="E45" s="27">
        <f>B45+0.6</f>
        <v>1.1400000000000001</v>
      </c>
      <c r="F45" s="26"/>
    </row>
    <row r="46" spans="1:12" x14ac:dyDescent="0.25">
      <c r="A46" s="57" t="s">
        <v>35</v>
      </c>
      <c r="B46" s="28">
        <v>0.59</v>
      </c>
      <c r="C46" s="20"/>
      <c r="D46" s="28">
        <f>B46-0.7</f>
        <v>-0.10999999999999999</v>
      </c>
      <c r="E46" s="27">
        <f>B46+0.7</f>
        <v>1.29</v>
      </c>
      <c r="F46" s="26"/>
    </row>
    <row r="47" spans="1:12" x14ac:dyDescent="0.25">
      <c r="A47" s="60" t="s">
        <v>38</v>
      </c>
      <c r="B47" s="42">
        <f>1/B43</f>
        <v>3.7037037037037033</v>
      </c>
      <c r="C47" s="20"/>
      <c r="D47" s="61">
        <f>1/D43</f>
        <v>-33.333333333333364</v>
      </c>
      <c r="E47" s="45">
        <f>1/E43</f>
        <v>1.7543859649122806</v>
      </c>
      <c r="F47" s="26"/>
    </row>
    <row r="48" spans="1:12" x14ac:dyDescent="0.25">
      <c r="A48" s="60" t="s">
        <v>39</v>
      </c>
      <c r="B48" s="42">
        <f t="shared" ref="B48:B50" si="14">1/B44</f>
        <v>1.25</v>
      </c>
      <c r="D48" s="61">
        <f t="shared" ref="D48:E50" si="15">1/D44</f>
        <v>4.9999999999999982</v>
      </c>
      <c r="E48" s="45">
        <f>1/E44</f>
        <v>0.7142857142857143</v>
      </c>
      <c r="F48" s="62"/>
    </row>
    <row r="49" spans="1:6" x14ac:dyDescent="0.25">
      <c r="A49" s="60" t="s">
        <v>40</v>
      </c>
      <c r="B49" s="42">
        <f t="shared" si="14"/>
        <v>1.8518518518518516</v>
      </c>
      <c r="D49" s="61">
        <f t="shared" si="15"/>
        <v>-16.666666666666682</v>
      </c>
      <c r="E49" s="45">
        <f t="shared" si="15"/>
        <v>0.8771929824561403</v>
      </c>
      <c r="F49" s="62"/>
    </row>
    <row r="50" spans="1:6" x14ac:dyDescent="0.25">
      <c r="A50" s="60" t="s">
        <v>41</v>
      </c>
      <c r="B50" s="42">
        <f t="shared" si="14"/>
        <v>1.6949152542372883</v>
      </c>
      <c r="D50" s="61">
        <f t="shared" si="15"/>
        <v>-9.0909090909090917</v>
      </c>
      <c r="E50" s="45">
        <f t="shared" si="15"/>
        <v>0.77519379844961234</v>
      </c>
      <c r="F50" s="62"/>
    </row>
    <row r="51" spans="1:6" x14ac:dyDescent="0.25">
      <c r="A51" s="63"/>
      <c r="B51" s="64" t="s">
        <v>52</v>
      </c>
      <c r="C51" s="64" t="s">
        <v>0</v>
      </c>
      <c r="D51" s="64" t="s">
        <v>2</v>
      </c>
      <c r="E51" s="64" t="s">
        <v>3</v>
      </c>
      <c r="F51" s="63"/>
    </row>
    <row r="52" spans="1:6" x14ac:dyDescent="0.25">
      <c r="A52" s="65" t="s">
        <v>42</v>
      </c>
      <c r="B52" s="20">
        <v>-4</v>
      </c>
      <c r="C52" s="42">
        <f>ATAN(0.19-(0.1*B52))*180/PI()</f>
        <v>30.540604849681507</v>
      </c>
      <c r="D52" s="42">
        <f>ATAN((0.19-0.02)-((0.1-0.02)*B52))*180/PI()</f>
        <v>26.104854009099295</v>
      </c>
      <c r="E52" s="42">
        <f>ATAN((0.19+0.02)-((0.1+0.02)*B52))*180/PI()</f>
        <v>34.605675551638562</v>
      </c>
    </row>
    <row r="53" spans="1:6" x14ac:dyDescent="0.25">
      <c r="A53" s="65" t="s">
        <v>43</v>
      </c>
      <c r="B53" s="20">
        <v>-3</v>
      </c>
      <c r="C53" s="42">
        <f t="shared" ref="C53:C56" si="16">ATAN(0.19-(0.1*B53))*180/PI()</f>
        <v>26.104854009099302</v>
      </c>
      <c r="D53" s="42">
        <f t="shared" ref="D53:D56" si="17">ATAN((0.19-0.02)-((0.1-0.02)*B53))*180/PI()</f>
        <v>22.293629159694085</v>
      </c>
      <c r="E53" s="42">
        <f t="shared" ref="E53:E56" si="18">ATAN((0.19+0.02)-((0.1+0.02)*B53))*180/PI()</f>
        <v>29.683140179123303</v>
      </c>
    </row>
    <row r="54" spans="1:6" x14ac:dyDescent="0.25">
      <c r="A54" s="65" t="s">
        <v>44</v>
      </c>
      <c r="B54" s="20">
        <v>-2</v>
      </c>
      <c r="C54" s="42">
        <f t="shared" si="16"/>
        <v>21.305783617828773</v>
      </c>
      <c r="D54" s="42">
        <f t="shared" si="17"/>
        <v>18.262889942194128</v>
      </c>
      <c r="E54" s="42">
        <f t="shared" si="18"/>
        <v>24.22774531795417</v>
      </c>
    </row>
    <row r="55" spans="1:6" x14ac:dyDescent="0.25">
      <c r="A55" s="65" t="s">
        <v>45</v>
      </c>
      <c r="B55" s="20">
        <v>-1</v>
      </c>
      <c r="C55" s="42">
        <f t="shared" si="16"/>
        <v>16.172159015782555</v>
      </c>
      <c r="D55" s="42">
        <f t="shared" si="17"/>
        <v>14.036243467926477</v>
      </c>
      <c r="E55" s="42">
        <f t="shared" si="18"/>
        <v>18.262889942194128</v>
      </c>
    </row>
    <row r="56" spans="1:6" x14ac:dyDescent="0.25">
      <c r="A56" s="65" t="s">
        <v>46</v>
      </c>
      <c r="B56" s="20">
        <v>-0.5</v>
      </c>
      <c r="C56" s="42">
        <f t="shared" si="16"/>
        <v>13.495733280795813</v>
      </c>
      <c r="D56" s="42">
        <f t="shared" si="17"/>
        <v>11.85977912094798</v>
      </c>
      <c r="E56" s="42">
        <f t="shared" si="18"/>
        <v>15.109575122340466</v>
      </c>
    </row>
    <row r="57" spans="1:6" x14ac:dyDescent="0.25">
      <c r="B57" s="20"/>
      <c r="C57" s="20"/>
      <c r="D57" s="20"/>
      <c r="E57" s="20"/>
    </row>
    <row r="58" spans="1:6" x14ac:dyDescent="0.25">
      <c r="A58" s="65" t="s">
        <v>47</v>
      </c>
      <c r="B58" s="20">
        <v>-4</v>
      </c>
      <c r="C58" s="66">
        <f>(104.5-(143.8*B58))/1000</f>
        <v>0.67970000000000008</v>
      </c>
      <c r="D58" s="20">
        <f>((104.5-59.7)-((143.8-42.5)*B58))/1000</f>
        <v>0.45000000000000007</v>
      </c>
      <c r="E58" s="66">
        <f>((104.5+59.7)-((143.8+42.5)*B58))/1000</f>
        <v>0.9094000000000001</v>
      </c>
    </row>
    <row r="59" spans="1:6" x14ac:dyDescent="0.25">
      <c r="A59" s="65" t="s">
        <v>48</v>
      </c>
      <c r="B59" s="20">
        <v>-3</v>
      </c>
      <c r="C59" s="66">
        <f t="shared" ref="C59:C62" si="19">(104.5-(143.8*B59))/1000</f>
        <v>0.53590000000000004</v>
      </c>
      <c r="D59" s="66">
        <f t="shared" ref="D59:D62" si="20">((104.5-59.7)-((143.8-42.5)*B59))/1000</f>
        <v>0.34870000000000007</v>
      </c>
      <c r="E59" s="66">
        <f t="shared" ref="E59:E62" si="21">((104.5+59.7)-((143.8+42.5)*B59))/1000</f>
        <v>0.72310000000000019</v>
      </c>
    </row>
    <row r="60" spans="1:6" x14ac:dyDescent="0.25">
      <c r="A60" s="65" t="s">
        <v>49</v>
      </c>
      <c r="B60" s="20">
        <v>-2</v>
      </c>
      <c r="C60" s="66">
        <f t="shared" si="19"/>
        <v>0.3921</v>
      </c>
      <c r="D60" s="66">
        <f t="shared" si="20"/>
        <v>0.24740000000000004</v>
      </c>
      <c r="E60" s="66">
        <f t="shared" si="21"/>
        <v>0.53679999999999994</v>
      </c>
    </row>
    <row r="61" spans="1:6" x14ac:dyDescent="0.25">
      <c r="A61" s="65" t="s">
        <v>50</v>
      </c>
      <c r="B61" s="20">
        <v>-1</v>
      </c>
      <c r="C61" s="66">
        <f t="shared" si="19"/>
        <v>0.24830000000000002</v>
      </c>
      <c r="D61" s="66">
        <f t="shared" si="20"/>
        <v>0.14610000000000004</v>
      </c>
      <c r="E61" s="66">
        <f t="shared" si="21"/>
        <v>0.35049999999999998</v>
      </c>
    </row>
    <row r="62" spans="1:6" x14ac:dyDescent="0.25">
      <c r="A62" s="65" t="s">
        <v>51</v>
      </c>
      <c r="B62" s="20">
        <v>-0.5</v>
      </c>
      <c r="C62" s="66">
        <f t="shared" si="19"/>
        <v>0.1764</v>
      </c>
      <c r="D62" s="66">
        <f t="shared" si="20"/>
        <v>9.5450000000000007E-2</v>
      </c>
      <c r="E62" s="66">
        <f t="shared" si="21"/>
        <v>0.25735000000000002</v>
      </c>
    </row>
    <row r="63" spans="1:6" x14ac:dyDescent="0.25">
      <c r="B63" s="20"/>
      <c r="C63" s="20"/>
      <c r="D63" s="20"/>
      <c r="E63" s="20"/>
    </row>
  </sheetData>
  <mergeCells count="3">
    <mergeCell ref="D3:E3"/>
    <mergeCell ref="F3:G3"/>
    <mergeCell ref="H29:H3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>
      <pane ySplit="4" topLeftCell="A5" activePane="bottomLeft" state="frozen"/>
      <selection pane="bottomLeft" activeCell="G68" sqref="G68"/>
    </sheetView>
  </sheetViews>
  <sheetFormatPr baseColWidth="10" defaultRowHeight="15" x14ac:dyDescent="0.25"/>
  <cols>
    <col min="1" max="1" width="31.7109375" customWidth="1"/>
    <col min="2" max="2" width="19.42578125" customWidth="1"/>
    <col min="3" max="3" width="19.28515625" customWidth="1"/>
    <col min="4" max="7" width="20.7109375" customWidth="1"/>
  </cols>
  <sheetData>
    <row r="1" spans="1:12" ht="18.75" x14ac:dyDescent="0.3">
      <c r="A1" s="8" t="s">
        <v>1</v>
      </c>
      <c r="B1" s="8"/>
      <c r="C1" s="8"/>
      <c r="D1" s="9"/>
      <c r="E1" s="9"/>
      <c r="F1" s="9"/>
      <c r="G1" s="9"/>
      <c r="H1" s="9"/>
    </row>
    <row r="2" spans="1:12" ht="18.75" x14ac:dyDescent="0.3">
      <c r="A2" s="8"/>
      <c r="B2" s="8"/>
      <c r="C2" s="8"/>
      <c r="D2" s="9"/>
      <c r="E2" s="9"/>
      <c r="F2" s="9"/>
      <c r="G2" s="9"/>
      <c r="H2" s="9"/>
    </row>
    <row r="3" spans="1:12" ht="18.75" x14ac:dyDescent="0.3">
      <c r="A3" s="8"/>
      <c r="B3" s="10" t="s">
        <v>18</v>
      </c>
      <c r="C3" s="11" t="s">
        <v>19</v>
      </c>
      <c r="D3" s="12" t="s">
        <v>18</v>
      </c>
      <c r="E3" s="12"/>
      <c r="F3" s="13" t="s">
        <v>19</v>
      </c>
      <c r="G3" s="14"/>
      <c r="H3" s="9"/>
    </row>
    <row r="4" spans="1:12" ht="30" x14ac:dyDescent="0.25">
      <c r="A4" s="15"/>
      <c r="B4" s="16" t="s">
        <v>0</v>
      </c>
      <c r="C4" s="17" t="s">
        <v>0</v>
      </c>
      <c r="D4" s="16" t="s">
        <v>15</v>
      </c>
      <c r="E4" s="16" t="s">
        <v>16</v>
      </c>
      <c r="F4" s="18" t="s">
        <v>15</v>
      </c>
      <c r="G4" s="19" t="s">
        <v>16</v>
      </c>
      <c r="H4" s="20"/>
      <c r="I4" s="1"/>
      <c r="J4" s="1"/>
      <c r="K4" s="1"/>
      <c r="L4" s="1"/>
    </row>
    <row r="5" spans="1:12" x14ac:dyDescent="0.25">
      <c r="A5" s="21" t="s">
        <v>4</v>
      </c>
      <c r="B5" s="22">
        <v>2.7</v>
      </c>
      <c r="C5" s="23">
        <v>2.7</v>
      </c>
      <c r="D5" s="22">
        <v>2.69</v>
      </c>
      <c r="E5" s="22">
        <v>2.71</v>
      </c>
      <c r="F5" s="24">
        <v>2.69</v>
      </c>
      <c r="G5" s="23">
        <v>2.71</v>
      </c>
      <c r="H5" s="22"/>
      <c r="I5" s="2"/>
      <c r="J5" s="2"/>
      <c r="K5" s="2"/>
      <c r="L5" s="2"/>
    </row>
    <row r="6" spans="1:12" x14ac:dyDescent="0.25">
      <c r="A6" s="25" t="s">
        <v>17</v>
      </c>
      <c r="B6" s="26">
        <v>4950</v>
      </c>
      <c r="C6" s="27">
        <v>5560</v>
      </c>
      <c r="D6" s="20">
        <f>4950-400</f>
        <v>4550</v>
      </c>
      <c r="E6" s="20">
        <f>4950+400</f>
        <v>5350</v>
      </c>
      <c r="F6" s="28">
        <f>5560-50</f>
        <v>5510</v>
      </c>
      <c r="G6" s="27">
        <f>5560+50</f>
        <v>5610</v>
      </c>
      <c r="H6" s="20"/>
      <c r="I6" s="1"/>
      <c r="J6" s="1"/>
      <c r="K6" s="1"/>
      <c r="L6" s="1"/>
    </row>
    <row r="7" spans="1:12" x14ac:dyDescent="0.25">
      <c r="A7" s="25" t="s">
        <v>5</v>
      </c>
      <c r="B7" s="26">
        <v>0.3</v>
      </c>
      <c r="C7" s="27">
        <v>0.3</v>
      </c>
      <c r="D7" s="20">
        <v>0.27</v>
      </c>
      <c r="E7" s="20">
        <v>0.33</v>
      </c>
      <c r="F7" s="28">
        <v>0.28999999999999998</v>
      </c>
      <c r="G7" s="27">
        <v>0.31</v>
      </c>
      <c r="H7" s="20"/>
      <c r="I7" s="1"/>
      <c r="J7" s="1"/>
      <c r="K7" s="1"/>
      <c r="L7" s="1"/>
    </row>
    <row r="8" spans="1:12" x14ac:dyDescent="0.25">
      <c r="A8" s="25" t="s">
        <v>13</v>
      </c>
      <c r="B8" s="26">
        <v>7.2</v>
      </c>
      <c r="C8" s="27">
        <v>9</v>
      </c>
      <c r="D8" s="20">
        <f>7.2-1.9</f>
        <v>5.3000000000000007</v>
      </c>
      <c r="E8" s="20">
        <f>7.2+1.9</f>
        <v>9.1</v>
      </c>
      <c r="F8" s="28">
        <f>9-1.4</f>
        <v>7.6</v>
      </c>
      <c r="G8" s="27">
        <f>9+1.4</f>
        <v>10.4</v>
      </c>
      <c r="H8" s="20"/>
      <c r="I8" s="1"/>
      <c r="J8" s="1"/>
      <c r="K8" s="1"/>
      <c r="L8" s="1"/>
    </row>
    <row r="9" spans="1:12" x14ac:dyDescent="0.25">
      <c r="A9" s="25" t="s">
        <v>14</v>
      </c>
      <c r="B9" s="26">
        <v>91</v>
      </c>
      <c r="C9" s="27">
        <v>109</v>
      </c>
      <c r="D9" s="20">
        <f>91-27</f>
        <v>64</v>
      </c>
      <c r="E9" s="20">
        <f>91+27</f>
        <v>118</v>
      </c>
      <c r="F9" s="28">
        <f>109-25</f>
        <v>84</v>
      </c>
      <c r="G9" s="27">
        <f>109+25</f>
        <v>134</v>
      </c>
      <c r="H9" s="20"/>
      <c r="I9" s="1"/>
      <c r="J9" s="1"/>
      <c r="K9" s="1"/>
      <c r="L9" s="1"/>
    </row>
    <row r="10" spans="1:12" ht="18" x14ac:dyDescent="0.25">
      <c r="A10" s="21" t="s">
        <v>53</v>
      </c>
      <c r="B10" s="29">
        <f>B14*EXP((B12-100)/(28-14*B13))</f>
        <v>0.73876498761508924</v>
      </c>
      <c r="C10" s="29">
        <f>C14*EXP((C12-100)/(28-14*C13))</f>
        <v>0.73876498761508924</v>
      </c>
      <c r="D10" s="30">
        <f>D14*EXP((D12-100)/(28-14*D13))</f>
        <v>2.5785431717417109</v>
      </c>
      <c r="E10" s="31">
        <v>2.5785399999999998</v>
      </c>
      <c r="F10" s="29">
        <v>2.5785399999999998</v>
      </c>
      <c r="G10" s="31">
        <v>2.5785399999999998</v>
      </c>
      <c r="H10" s="20"/>
      <c r="I10" s="1"/>
      <c r="J10" s="1"/>
      <c r="K10" s="1"/>
      <c r="L10" s="1"/>
    </row>
    <row r="11" spans="1:12" x14ac:dyDescent="0.25">
      <c r="A11" s="25" t="s">
        <v>20</v>
      </c>
      <c r="B11" s="32">
        <f>EXP((B12-100)/(9-3*B13))</f>
        <v>2.9282996948181888E-3</v>
      </c>
      <c r="C11" s="32">
        <f>EXP((C12-100)/(9-3*C13))</f>
        <v>2.9282996948181888E-3</v>
      </c>
      <c r="D11" s="33">
        <f>EXP((D12-100)/(9-3*D13))</f>
        <v>2.0468075714350484E-2</v>
      </c>
      <c r="E11" s="34">
        <f t="shared" ref="E11:G11" si="0">EXP((E12-100)/(9-3*E13))</f>
        <v>2.0468075714350484E-2</v>
      </c>
      <c r="F11" s="32">
        <f t="shared" si="0"/>
        <v>2.0468075714350484E-2</v>
      </c>
      <c r="G11" s="34">
        <f t="shared" si="0"/>
        <v>2.0468075714350484E-2</v>
      </c>
      <c r="H11" s="20"/>
      <c r="I11" s="1"/>
      <c r="J11" s="1"/>
      <c r="K11" s="1"/>
      <c r="L11" s="1"/>
    </row>
    <row r="12" spans="1:12" x14ac:dyDescent="0.25">
      <c r="A12" s="25" t="s">
        <v>21</v>
      </c>
      <c r="B12" s="26">
        <v>65</v>
      </c>
      <c r="C12" s="27">
        <v>65</v>
      </c>
      <c r="D12" s="26">
        <v>65</v>
      </c>
      <c r="E12" s="27">
        <v>65</v>
      </c>
      <c r="F12" s="26">
        <v>65</v>
      </c>
      <c r="G12" s="27">
        <v>65</v>
      </c>
      <c r="H12" s="20"/>
      <c r="I12" s="1"/>
      <c r="J12" s="1"/>
      <c r="K12" s="1"/>
      <c r="L12" s="1"/>
    </row>
    <row r="13" spans="1:12" x14ac:dyDescent="0.25">
      <c r="A13" s="25" t="s">
        <v>22</v>
      </c>
      <c r="B13" s="26">
        <v>1</v>
      </c>
      <c r="C13" s="27">
        <v>1</v>
      </c>
      <c r="D13" s="26">
        <v>0</v>
      </c>
      <c r="E13" s="27">
        <v>0</v>
      </c>
      <c r="F13" s="26">
        <v>0</v>
      </c>
      <c r="G13" s="27">
        <v>0</v>
      </c>
      <c r="H13" s="20"/>
      <c r="I13" s="1"/>
      <c r="J13" s="1"/>
      <c r="K13" s="1"/>
      <c r="L13" s="1"/>
    </row>
    <row r="14" spans="1:12" ht="18" x14ac:dyDescent="0.25">
      <c r="A14" s="25" t="s">
        <v>54</v>
      </c>
      <c r="B14" s="26">
        <v>9</v>
      </c>
      <c r="C14" s="35">
        <v>9</v>
      </c>
      <c r="D14" s="26">
        <v>9</v>
      </c>
      <c r="E14" s="35">
        <v>9</v>
      </c>
      <c r="F14" s="26">
        <v>9</v>
      </c>
      <c r="G14" s="35">
        <v>9</v>
      </c>
      <c r="H14" s="20"/>
      <c r="I14" s="1"/>
      <c r="J14" s="1"/>
      <c r="K14" s="1"/>
      <c r="L14" s="1"/>
    </row>
    <row r="15" spans="1:12" x14ac:dyDescent="0.25">
      <c r="A15" s="36"/>
      <c r="B15" s="37"/>
      <c r="C15" s="38"/>
      <c r="D15" s="39" t="s">
        <v>2</v>
      </c>
      <c r="E15" s="40" t="s">
        <v>3</v>
      </c>
      <c r="F15" s="41" t="s">
        <v>2</v>
      </c>
      <c r="G15" s="36" t="s">
        <v>3</v>
      </c>
      <c r="H15" s="37"/>
      <c r="I15" s="3"/>
      <c r="J15" s="3"/>
      <c r="K15" s="3"/>
      <c r="L15" s="3"/>
    </row>
    <row r="16" spans="1:12" x14ac:dyDescent="0.25">
      <c r="A16" s="25" t="s">
        <v>6</v>
      </c>
      <c r="B16" s="26">
        <v>67.099999999999994</v>
      </c>
      <c r="C16" s="27">
        <v>84.3</v>
      </c>
      <c r="D16" s="42">
        <f>(D5*D6^2)/1000000</f>
        <v>55.689725000000003</v>
      </c>
      <c r="E16" s="43">
        <f>(E5*E6^2)/1000000</f>
        <v>77.566974999999999</v>
      </c>
      <c r="F16" s="42">
        <f>(F5*F6^2)/1000000</f>
        <v>81.668668999999994</v>
      </c>
      <c r="G16" s="43">
        <f>(G5*G6^2)/1000000</f>
        <v>85.289390999999995</v>
      </c>
      <c r="H16" s="20"/>
      <c r="I16" s="1"/>
      <c r="J16" s="1"/>
      <c r="K16" s="1"/>
      <c r="L16" s="1"/>
    </row>
    <row r="17" spans="1:12" x14ac:dyDescent="0.25">
      <c r="A17" s="25" t="s">
        <v>7</v>
      </c>
      <c r="B17" s="44">
        <f>B16/(2*(1+B7))</f>
        <v>25.807692307692303</v>
      </c>
      <c r="C17" s="45">
        <f t="shared" ref="C17:G17" si="1">C16/(2*(1+C7))</f>
        <v>32.42307692307692</v>
      </c>
      <c r="D17" s="44">
        <f t="shared" si="1"/>
        <v>21.925088582677166</v>
      </c>
      <c r="E17" s="45">
        <f t="shared" si="1"/>
        <v>29.160516917293233</v>
      </c>
      <c r="F17" s="44">
        <f t="shared" si="1"/>
        <v>31.65452286821705</v>
      </c>
      <c r="G17" s="45">
        <f t="shared" si="1"/>
        <v>32.55320267175572</v>
      </c>
      <c r="H17" s="20"/>
      <c r="I17" s="1"/>
      <c r="J17" s="1"/>
      <c r="K17" s="1"/>
      <c r="L17" s="1"/>
    </row>
    <row r="18" spans="1:12" x14ac:dyDescent="0.25">
      <c r="A18" s="46" t="s">
        <v>8</v>
      </c>
      <c r="B18" s="47">
        <f>B16/(3*(1-2*B7))</f>
        <v>55.916666666666657</v>
      </c>
      <c r="C18" s="48">
        <f t="shared" ref="C18:G18" si="2">C16/(3*(1-2*C7))</f>
        <v>70.249999999999986</v>
      </c>
      <c r="D18" s="47">
        <f t="shared" si="2"/>
        <v>40.354873188405804</v>
      </c>
      <c r="E18" s="48">
        <f t="shared" si="2"/>
        <v>76.046053921568628</v>
      </c>
      <c r="F18" s="47">
        <f t="shared" si="2"/>
        <v>64.816403968253951</v>
      </c>
      <c r="G18" s="48">
        <f t="shared" si="2"/>
        <v>74.81525526315788</v>
      </c>
      <c r="H18" s="20"/>
      <c r="I18" s="1"/>
      <c r="J18" s="1"/>
      <c r="K18" s="1"/>
      <c r="L18" s="1"/>
    </row>
    <row r="19" spans="1:12" x14ac:dyDescent="0.25">
      <c r="A19" s="25" t="s">
        <v>9</v>
      </c>
      <c r="B19" s="44">
        <f>(1-(B13/2))*SQRT(B9/100)*10^((B12-10)/40)</f>
        <v>11.310731695200115</v>
      </c>
      <c r="C19" s="45">
        <f t="shared" ref="C19:G19" si="3">(1-(C13/2))*SQRT(C9/100)*10^((C12-10)/40)</f>
        <v>12.378934167139359</v>
      </c>
      <c r="D19" s="44">
        <f t="shared" si="3"/>
        <v>18.970989645293248</v>
      </c>
      <c r="E19" s="45">
        <f t="shared" si="3"/>
        <v>25.759712027206596</v>
      </c>
      <c r="F19" s="44">
        <f t="shared" si="3"/>
        <v>21.733999014444937</v>
      </c>
      <c r="G19" s="45">
        <f t="shared" si="3"/>
        <v>27.450635252304604</v>
      </c>
      <c r="H19" s="20"/>
      <c r="I19" s="1"/>
      <c r="J19" s="1"/>
      <c r="K19" s="1"/>
      <c r="L19" s="1"/>
    </row>
    <row r="20" spans="1:12" x14ac:dyDescent="0.25">
      <c r="A20" s="25" t="s">
        <v>10</v>
      </c>
      <c r="B20" s="44">
        <f>B19/(2*(1+B7))</f>
        <v>4.3502814212308136</v>
      </c>
      <c r="C20" s="45">
        <f t="shared" ref="C20:G20" si="4">C19/(2*(1+C7))</f>
        <v>4.76112852582283</v>
      </c>
      <c r="D20" s="44">
        <f>D19/(2*(1+D7))</f>
        <v>7.4688935611390734</v>
      </c>
      <c r="E20" s="45">
        <f t="shared" si="4"/>
        <v>9.684102265867141</v>
      </c>
      <c r="F20" s="44">
        <f t="shared" si="4"/>
        <v>8.4240306257538506</v>
      </c>
      <c r="G20" s="45">
        <f t="shared" si="4"/>
        <v>10.477341699352902</v>
      </c>
      <c r="H20" s="20"/>
      <c r="I20" s="1"/>
      <c r="J20" s="1"/>
      <c r="K20" s="1"/>
      <c r="L20" s="1"/>
    </row>
    <row r="21" spans="1:12" x14ac:dyDescent="0.25">
      <c r="A21" s="25" t="s">
        <v>11</v>
      </c>
      <c r="B21" s="44">
        <f>B19/(3*(1-(2*B7)))</f>
        <v>9.4256097460000952</v>
      </c>
      <c r="C21" s="45">
        <f t="shared" ref="C21:G21" si="5">C19/(3*(1-(2*C7)))</f>
        <v>10.315778472616131</v>
      </c>
      <c r="D21" s="44">
        <f t="shared" si="5"/>
        <v>13.747093945864673</v>
      </c>
      <c r="E21" s="45">
        <f t="shared" si="5"/>
        <v>25.254619634516271</v>
      </c>
      <c r="F21" s="44">
        <f t="shared" si="5"/>
        <v>17.249205567019789</v>
      </c>
      <c r="G21" s="45">
        <f t="shared" si="5"/>
        <v>24.079504607284736</v>
      </c>
      <c r="H21" s="20"/>
      <c r="I21" s="1"/>
      <c r="J21" s="1"/>
      <c r="K21" s="1"/>
      <c r="L21" s="1"/>
    </row>
    <row r="22" spans="1:12" x14ac:dyDescent="0.25">
      <c r="A22" s="19" t="s">
        <v>12</v>
      </c>
      <c r="B22" s="49">
        <f>0.5*B9*(B10-(B10^2+4*B11)^0.5)</f>
        <v>-0.35878888038003387</v>
      </c>
      <c r="C22" s="50">
        <f t="shared" ref="C22:G22" si="6">0.5*C9*(C10-(C10^2+4*C11)^0.5)</f>
        <v>-0.42975810946619442</v>
      </c>
      <c r="D22" s="49">
        <f t="shared" si="6"/>
        <v>-0.50646772110400207</v>
      </c>
      <c r="E22" s="50">
        <f t="shared" si="6"/>
        <v>-0.93380100240185104</v>
      </c>
      <c r="F22" s="49">
        <f t="shared" si="6"/>
        <v>-0.66473969662504651</v>
      </c>
      <c r="G22" s="50">
        <f t="shared" si="6"/>
        <v>-1.0604180874732885</v>
      </c>
      <c r="H22" s="20"/>
      <c r="I22" s="1"/>
      <c r="J22" s="1"/>
      <c r="K22" s="1"/>
      <c r="L22" s="1"/>
    </row>
    <row r="23" spans="1:12" x14ac:dyDescent="0.25">
      <c r="A23" s="27"/>
      <c r="B23" s="26"/>
      <c r="C23" s="27"/>
      <c r="D23" s="20"/>
      <c r="E23" s="20"/>
      <c r="F23" s="28"/>
      <c r="G23" s="27"/>
      <c r="H23" s="20"/>
      <c r="I23" s="1"/>
      <c r="J23" s="1"/>
      <c r="K23" s="1"/>
      <c r="L23" s="1"/>
    </row>
    <row r="24" spans="1:12" x14ac:dyDescent="0.25">
      <c r="A24" s="27"/>
      <c r="B24" s="26"/>
      <c r="C24" s="27"/>
      <c r="D24" s="20"/>
      <c r="E24" s="20"/>
      <c r="F24" s="28"/>
      <c r="G24" s="27"/>
      <c r="H24" s="20"/>
      <c r="I24" s="1"/>
      <c r="J24" s="1"/>
      <c r="K24" s="1"/>
      <c r="L24" s="1"/>
    </row>
    <row r="25" spans="1:12" x14ac:dyDescent="0.25">
      <c r="A25" s="27"/>
      <c r="B25" s="26"/>
      <c r="C25" s="27"/>
      <c r="D25" s="20"/>
      <c r="E25" s="20"/>
      <c r="F25" s="28"/>
      <c r="G25" s="27"/>
      <c r="H25" s="20"/>
      <c r="I25" s="1"/>
      <c r="J25" s="1"/>
      <c r="K25" s="1"/>
      <c r="L25" s="1"/>
    </row>
    <row r="26" spans="1:12" x14ac:dyDescent="0.25">
      <c r="A26" s="25" t="s">
        <v>23</v>
      </c>
      <c r="B26" s="20">
        <v>51.9</v>
      </c>
      <c r="C26" s="27">
        <v>55</v>
      </c>
      <c r="D26" s="26">
        <f>B26-1</f>
        <v>50.9</v>
      </c>
      <c r="E26" s="27">
        <f>B26+1</f>
        <v>52.9</v>
      </c>
      <c r="F26" s="26">
        <f>C26-1</f>
        <v>54</v>
      </c>
      <c r="G26" s="27">
        <f>C26+1</f>
        <v>56</v>
      </c>
      <c r="H26" s="20"/>
      <c r="I26" s="1"/>
      <c r="J26" s="1"/>
      <c r="K26" s="1"/>
      <c r="L26" s="1"/>
    </row>
    <row r="27" spans="1:12" x14ac:dyDescent="0.25">
      <c r="A27" s="25" t="s">
        <v>24</v>
      </c>
      <c r="B27" s="20">
        <v>52.1</v>
      </c>
      <c r="C27" s="27">
        <v>53</v>
      </c>
      <c r="D27" s="26">
        <f>B27-0.8</f>
        <v>51.300000000000004</v>
      </c>
      <c r="E27" s="27">
        <f>B27+0.8</f>
        <v>52.9</v>
      </c>
      <c r="F27" s="26">
        <f>C27-2.1</f>
        <v>50.9</v>
      </c>
      <c r="G27" s="27">
        <f>C27+2.1</f>
        <v>55.1</v>
      </c>
      <c r="H27" s="20"/>
      <c r="I27" s="1"/>
      <c r="J27" s="1"/>
      <c r="K27" s="1"/>
      <c r="L27" s="1"/>
    </row>
    <row r="28" spans="1:12" x14ac:dyDescent="0.25">
      <c r="A28" s="25" t="s">
        <v>25</v>
      </c>
      <c r="B28" s="20">
        <v>30</v>
      </c>
      <c r="C28" s="27">
        <v>38.299999999999997</v>
      </c>
      <c r="D28" s="20">
        <f>B28-4.7</f>
        <v>25.3</v>
      </c>
      <c r="E28" s="27">
        <f>B28+4.7</f>
        <v>34.700000000000003</v>
      </c>
      <c r="F28" s="20">
        <f>C28-4.4</f>
        <v>33.9</v>
      </c>
      <c r="G28" s="27">
        <f>C28+4.4</f>
        <v>42.699999999999996</v>
      </c>
      <c r="H28" s="20"/>
      <c r="I28" s="1"/>
      <c r="J28" s="1"/>
      <c r="K28" s="1"/>
      <c r="L28" s="1"/>
    </row>
    <row r="29" spans="1:12" x14ac:dyDescent="0.25">
      <c r="A29" s="25" t="s">
        <v>33</v>
      </c>
      <c r="B29" s="20">
        <v>1.35</v>
      </c>
      <c r="C29" s="27">
        <v>1.35</v>
      </c>
      <c r="D29" s="20">
        <v>1.35</v>
      </c>
      <c r="E29" s="27">
        <v>1.35</v>
      </c>
      <c r="F29" s="20">
        <v>1.35</v>
      </c>
      <c r="G29" s="27">
        <v>1.35</v>
      </c>
      <c r="H29" s="51" t="s">
        <v>36</v>
      </c>
      <c r="I29" s="1"/>
      <c r="J29" s="1"/>
      <c r="K29" s="1"/>
      <c r="L29" s="1"/>
    </row>
    <row r="30" spans="1:12" x14ac:dyDescent="0.25">
      <c r="A30" s="25" t="s">
        <v>34</v>
      </c>
      <c r="B30" s="20">
        <v>3.15</v>
      </c>
      <c r="C30" s="27">
        <v>3.15</v>
      </c>
      <c r="D30" s="20">
        <v>3.15</v>
      </c>
      <c r="E30" s="27">
        <v>3.15</v>
      </c>
      <c r="F30" s="20">
        <v>3.15</v>
      </c>
      <c r="G30" s="27">
        <v>3.15</v>
      </c>
      <c r="H30" s="51"/>
      <c r="I30" s="1"/>
      <c r="J30" s="1"/>
      <c r="K30" s="1"/>
      <c r="L30" s="1"/>
    </row>
    <row r="31" spans="1:12" x14ac:dyDescent="0.25">
      <c r="A31" s="25" t="s">
        <v>35</v>
      </c>
      <c r="B31" s="20">
        <v>2.7</v>
      </c>
      <c r="C31" s="35">
        <v>2.7</v>
      </c>
      <c r="D31" s="20">
        <v>2.7</v>
      </c>
      <c r="E31" s="35">
        <v>2.7</v>
      </c>
      <c r="F31" s="20">
        <v>2.7</v>
      </c>
      <c r="G31" s="35">
        <v>2.7</v>
      </c>
      <c r="H31" s="52"/>
      <c r="I31" s="1"/>
      <c r="J31" s="1"/>
      <c r="K31" s="1"/>
      <c r="L31" s="1"/>
    </row>
    <row r="32" spans="1:12" x14ac:dyDescent="0.25">
      <c r="A32" s="38"/>
      <c r="B32" s="37"/>
      <c r="C32" s="38"/>
      <c r="D32" s="40" t="s">
        <v>2</v>
      </c>
      <c r="E32" s="36" t="s">
        <v>3</v>
      </c>
      <c r="F32" s="40" t="s">
        <v>2</v>
      </c>
      <c r="G32" s="36" t="s">
        <v>3</v>
      </c>
      <c r="H32" s="37"/>
      <c r="I32" s="3"/>
      <c r="J32" s="3"/>
      <c r="K32" s="1"/>
      <c r="L32" s="1"/>
    </row>
    <row r="33" spans="1:12" x14ac:dyDescent="0.25">
      <c r="A33" s="25" t="s">
        <v>26</v>
      </c>
      <c r="B33" s="42">
        <f>(B28-20)+20*(B27/B26)</f>
        <v>30.077071290944126</v>
      </c>
      <c r="C33" s="43">
        <f t="shared" ref="C33:G33" si="7">(C28-20)+20*(C27/C26)</f>
        <v>37.572727272727271</v>
      </c>
      <c r="D33" s="42">
        <f t="shared" si="7"/>
        <v>25.457170923379177</v>
      </c>
      <c r="E33" s="43">
        <f t="shared" si="7"/>
        <v>34.700000000000003</v>
      </c>
      <c r="F33" s="42">
        <f t="shared" si="7"/>
        <v>32.751851851851853</v>
      </c>
      <c r="G33" s="43">
        <f t="shared" si="7"/>
        <v>42.378571428571426</v>
      </c>
      <c r="H33" s="20"/>
      <c r="I33" s="1"/>
      <c r="J33" s="1"/>
      <c r="K33" s="1"/>
      <c r="L33" s="1"/>
    </row>
    <row r="34" spans="1:12" x14ac:dyDescent="0.25">
      <c r="A34" s="25" t="s">
        <v>27</v>
      </c>
      <c r="B34" s="53">
        <f>((B20*1000)*(B17*1000))/(B29*((B17*1000)-(B20*1000)))</f>
        <v>3875.7471707149148</v>
      </c>
      <c r="C34" s="54">
        <f t="shared" ref="C34:G34" si="8">((C20*1000)*(C17*1000))/(C29*((C17*1000)-(C20*1000)))</f>
        <v>4133.7822553203132</v>
      </c>
      <c r="D34" s="53">
        <f t="shared" si="8"/>
        <v>8390.9254026251274</v>
      </c>
      <c r="E34" s="54">
        <f t="shared" si="8"/>
        <v>10740.186053012671</v>
      </c>
      <c r="F34" s="53">
        <f t="shared" si="8"/>
        <v>8502.8306220307422</v>
      </c>
      <c r="G34" s="54">
        <f t="shared" si="8"/>
        <v>11444.410077315359</v>
      </c>
      <c r="H34" s="20"/>
      <c r="I34" s="1"/>
      <c r="J34" s="1"/>
      <c r="K34" s="1"/>
      <c r="L34" s="1"/>
    </row>
    <row r="35" spans="1:12" x14ac:dyDescent="0.25">
      <c r="A35" s="25" t="s">
        <v>28</v>
      </c>
      <c r="B35" s="53">
        <f>((B19*1000)*(B16*1000))/(B29*((B16*1000)-(B19*1000)))</f>
        <v>10076.942643858774</v>
      </c>
      <c r="C35" s="54">
        <f t="shared" ref="C35:G36" si="9">((C19*1000)*(C16*1000))/(C29*((C16*1000)-(C19*1000)))</f>
        <v>10747.833863832815</v>
      </c>
      <c r="D35" s="53">
        <f t="shared" si="9"/>
        <v>21312.950522667823</v>
      </c>
      <c r="E35" s="54">
        <f t="shared" si="9"/>
        <v>28568.8949010137</v>
      </c>
      <c r="F35" s="53">
        <f t="shared" si="9"/>
        <v>21937.303004839323</v>
      </c>
      <c r="G35" s="54">
        <f t="shared" si="9"/>
        <v>29984.354402566238</v>
      </c>
      <c r="H35" s="20"/>
      <c r="I35" s="1"/>
      <c r="J35" s="1"/>
      <c r="K35" s="1"/>
      <c r="L35" s="1"/>
    </row>
    <row r="36" spans="1:12" x14ac:dyDescent="0.25">
      <c r="A36" s="25" t="s">
        <v>29</v>
      </c>
      <c r="B36" s="53">
        <f>((B20*1000)*(B17*1000))/(B30*((B17*1000)-(B20*1000)))</f>
        <v>1661.0345017349637</v>
      </c>
      <c r="C36" s="54">
        <f t="shared" si="9"/>
        <v>1771.6209665658487</v>
      </c>
      <c r="D36" s="53">
        <f t="shared" si="9"/>
        <v>3596.1108868393403</v>
      </c>
      <c r="E36" s="54">
        <f t="shared" si="9"/>
        <v>4602.9368798625728</v>
      </c>
      <c r="F36" s="53">
        <f t="shared" si="9"/>
        <v>3644.0702665846047</v>
      </c>
      <c r="G36" s="54">
        <f t="shared" si="9"/>
        <v>4904.7471759922973</v>
      </c>
      <c r="H36" s="20"/>
      <c r="I36" s="1"/>
      <c r="J36" s="1"/>
      <c r="K36" s="1"/>
      <c r="L36" s="1"/>
    </row>
    <row r="37" spans="1:12" x14ac:dyDescent="0.25">
      <c r="A37" s="25" t="s">
        <v>30</v>
      </c>
      <c r="B37" s="53">
        <f>((B19*1000)*(B16*1000))/(B30*((B16*1000)-(B19*1000)))</f>
        <v>4318.6897045109035</v>
      </c>
      <c r="C37" s="54">
        <f t="shared" ref="C37:G38" si="10">((C19*1000)*(C16*1000))/(C30*((C16*1000)-(C19*1000)))</f>
        <v>4606.214513071207</v>
      </c>
      <c r="D37" s="53">
        <f t="shared" si="10"/>
        <v>9134.1216525719246</v>
      </c>
      <c r="E37" s="54">
        <f t="shared" si="10"/>
        <v>12243.812100434443</v>
      </c>
      <c r="F37" s="53">
        <f t="shared" si="10"/>
        <v>9401.7012877882826</v>
      </c>
      <c r="G37" s="54">
        <f t="shared" si="10"/>
        <v>12850.437601099817</v>
      </c>
      <c r="H37" s="20"/>
      <c r="I37" s="1"/>
      <c r="J37" s="1"/>
      <c r="K37" s="1"/>
      <c r="L37" s="1"/>
    </row>
    <row r="38" spans="1:12" x14ac:dyDescent="0.25">
      <c r="A38" s="25" t="s">
        <v>31</v>
      </c>
      <c r="B38" s="53">
        <f>((B20*1000)*(B17*1000))/(B31*((B17*1000)-(B20*1000)))</f>
        <v>1937.8735853574574</v>
      </c>
      <c r="C38" s="54">
        <f t="shared" si="10"/>
        <v>2066.8911276601566</v>
      </c>
      <c r="D38" s="53">
        <f t="shared" si="10"/>
        <v>4195.4627013125637</v>
      </c>
      <c r="E38" s="54">
        <f t="shared" si="10"/>
        <v>5370.0930265063353</v>
      </c>
      <c r="F38" s="53">
        <f t="shared" si="10"/>
        <v>4251.4153110153711</v>
      </c>
      <c r="G38" s="54">
        <f t="shared" si="10"/>
        <v>5722.2050386576793</v>
      </c>
      <c r="H38" s="20"/>
      <c r="I38" s="1"/>
      <c r="J38" s="1"/>
      <c r="K38" s="1"/>
      <c r="L38" s="1"/>
    </row>
    <row r="39" spans="1:12" x14ac:dyDescent="0.25">
      <c r="A39" s="25" t="s">
        <v>32</v>
      </c>
      <c r="B39" s="53">
        <f>((B19*1000)*(B16*1000))/(B31*((B16*1000)-(B19*1000)))</f>
        <v>5038.4713219293872</v>
      </c>
      <c r="C39" s="54">
        <f t="shared" ref="C39:G39" si="11">((C19*1000)*(C16*1000))/(C31*((C16*1000)-(C19*1000)))</f>
        <v>5373.9169319164075</v>
      </c>
      <c r="D39" s="53">
        <f t="shared" si="11"/>
        <v>10656.475261333911</v>
      </c>
      <c r="E39" s="54">
        <f t="shared" si="11"/>
        <v>14284.44745050685</v>
      </c>
      <c r="F39" s="53">
        <f t="shared" si="11"/>
        <v>10968.651502419661</v>
      </c>
      <c r="G39" s="54">
        <f t="shared" si="11"/>
        <v>14992.177201283119</v>
      </c>
      <c r="H39" s="9"/>
    </row>
    <row r="40" spans="1:12" x14ac:dyDescent="0.25">
      <c r="A40" s="55"/>
      <c r="B40" s="9"/>
      <c r="C40" s="55"/>
      <c r="D40" s="9"/>
      <c r="E40" s="55"/>
      <c r="F40" s="9"/>
      <c r="G40" s="55"/>
      <c r="H40" s="9"/>
    </row>
    <row r="41" spans="1:12" x14ac:dyDescent="0.25">
      <c r="A41" s="9"/>
      <c r="B41" s="56"/>
      <c r="C41" s="55"/>
      <c r="D41" s="9"/>
      <c r="E41" s="55"/>
      <c r="F41" s="9"/>
      <c r="G41" s="55"/>
      <c r="H41" s="9"/>
    </row>
    <row r="42" spans="1:12" x14ac:dyDescent="0.25">
      <c r="A42" s="9"/>
      <c r="B42" s="56"/>
      <c r="C42" s="55"/>
      <c r="D42" s="57" t="s">
        <v>2</v>
      </c>
      <c r="E42" s="58" t="s">
        <v>3</v>
      </c>
      <c r="F42" s="9"/>
      <c r="G42" s="55"/>
      <c r="H42" s="9"/>
    </row>
    <row r="43" spans="1:12" x14ac:dyDescent="0.25">
      <c r="A43" s="59" t="s">
        <v>33</v>
      </c>
      <c r="B43" s="24">
        <v>0.27</v>
      </c>
      <c r="C43" s="22"/>
      <c r="D43" s="24">
        <f>B43-0.3</f>
        <v>-2.9999999999999971E-2</v>
      </c>
      <c r="E43" s="22">
        <f>B43+0.3</f>
        <v>0.57000000000000006</v>
      </c>
      <c r="F43" s="24"/>
      <c r="G43" s="55"/>
      <c r="H43" s="9"/>
    </row>
    <row r="44" spans="1:12" x14ac:dyDescent="0.25">
      <c r="A44" s="57" t="s">
        <v>37</v>
      </c>
      <c r="B44" s="28">
        <v>0.8</v>
      </c>
      <c r="C44" s="20"/>
      <c r="D44" s="28">
        <f>B44-0.6</f>
        <v>0.20000000000000007</v>
      </c>
      <c r="E44" s="27">
        <f>B44+0.6</f>
        <v>1.4</v>
      </c>
      <c r="F44" s="26"/>
      <c r="G44" s="9"/>
      <c r="H44" s="9"/>
    </row>
    <row r="45" spans="1:12" x14ac:dyDescent="0.25">
      <c r="A45" s="57" t="s">
        <v>34</v>
      </c>
      <c r="B45" s="28">
        <v>0.54</v>
      </c>
      <c r="C45" s="20"/>
      <c r="D45" s="28">
        <f>B45-0.6</f>
        <v>-5.9999999999999942E-2</v>
      </c>
      <c r="E45" s="27">
        <f>B45+0.6</f>
        <v>1.1400000000000001</v>
      </c>
      <c r="F45" s="26"/>
      <c r="G45" s="9"/>
      <c r="H45" s="9"/>
    </row>
    <row r="46" spans="1:12" x14ac:dyDescent="0.25">
      <c r="A46" s="57" t="s">
        <v>35</v>
      </c>
      <c r="B46" s="28">
        <v>0.59</v>
      </c>
      <c r="C46" s="20"/>
      <c r="D46" s="28">
        <f>B46-0.7</f>
        <v>-0.10999999999999999</v>
      </c>
      <c r="E46" s="27">
        <f>B46+0.7</f>
        <v>1.29</v>
      </c>
      <c r="F46" s="26"/>
      <c r="G46" s="9"/>
      <c r="H46" s="9"/>
    </row>
    <row r="47" spans="1:12" x14ac:dyDescent="0.25">
      <c r="A47" s="60" t="s">
        <v>38</v>
      </c>
      <c r="B47" s="42">
        <f>1/B43</f>
        <v>3.7037037037037033</v>
      </c>
      <c r="C47" s="20"/>
      <c r="D47" s="61">
        <f>1/D43</f>
        <v>-33.333333333333364</v>
      </c>
      <c r="E47" s="45">
        <f>1/E43</f>
        <v>1.7543859649122806</v>
      </c>
      <c r="F47" s="26"/>
      <c r="G47" s="9"/>
      <c r="H47" s="9"/>
    </row>
    <row r="48" spans="1:12" x14ac:dyDescent="0.25">
      <c r="A48" s="60" t="s">
        <v>39</v>
      </c>
      <c r="B48" s="42">
        <f t="shared" ref="B48:B50" si="12">1/B44</f>
        <v>1.25</v>
      </c>
      <c r="C48" s="9"/>
      <c r="D48" s="61">
        <f t="shared" ref="D48:E50" si="13">1/D44</f>
        <v>4.9999999999999982</v>
      </c>
      <c r="E48" s="45">
        <f>1/E44</f>
        <v>0.7142857142857143</v>
      </c>
      <c r="F48" s="62"/>
      <c r="G48" s="9"/>
      <c r="H48" s="9"/>
    </row>
    <row r="49" spans="1:8" x14ac:dyDescent="0.25">
      <c r="A49" s="60" t="s">
        <v>40</v>
      </c>
      <c r="B49" s="42">
        <f t="shared" si="12"/>
        <v>1.8518518518518516</v>
      </c>
      <c r="C49" s="9"/>
      <c r="D49" s="61">
        <f t="shared" si="13"/>
        <v>-16.666666666666682</v>
      </c>
      <c r="E49" s="45">
        <f t="shared" si="13"/>
        <v>0.8771929824561403</v>
      </c>
      <c r="F49" s="62"/>
      <c r="G49" s="9"/>
      <c r="H49" s="9"/>
    </row>
    <row r="50" spans="1:8" x14ac:dyDescent="0.25">
      <c r="A50" s="60" t="s">
        <v>41</v>
      </c>
      <c r="B50" s="42">
        <f t="shared" si="12"/>
        <v>1.6949152542372883</v>
      </c>
      <c r="C50" s="9"/>
      <c r="D50" s="61">
        <f t="shared" si="13"/>
        <v>-9.0909090909090917</v>
      </c>
      <c r="E50" s="45">
        <f t="shared" si="13"/>
        <v>0.77519379844961234</v>
      </c>
      <c r="F50" s="62"/>
      <c r="G50" s="9"/>
      <c r="H50" s="9"/>
    </row>
    <row r="51" spans="1:8" x14ac:dyDescent="0.25">
      <c r="A51" s="63"/>
      <c r="B51" s="64" t="s">
        <v>52</v>
      </c>
      <c r="C51" s="64" t="s">
        <v>0</v>
      </c>
      <c r="D51" s="64" t="s">
        <v>2</v>
      </c>
      <c r="E51" s="64" t="s">
        <v>3</v>
      </c>
      <c r="F51" s="63"/>
      <c r="G51" s="9"/>
      <c r="H51" s="9"/>
    </row>
    <row r="52" spans="1:8" x14ac:dyDescent="0.25">
      <c r="A52" s="65" t="s">
        <v>42</v>
      </c>
      <c r="B52" s="20">
        <v>-4</v>
      </c>
      <c r="C52" s="42">
        <f>ATAN(0.19-(0.1*B52))*180/PI()</f>
        <v>30.540604849681507</v>
      </c>
      <c r="D52" s="42">
        <f>ATAN((0.19-0.02)-((0.1-0.02)*B52))*180/PI()</f>
        <v>26.104854009099295</v>
      </c>
      <c r="E52" s="42">
        <f>ATAN((0.19+0.02)-((0.1+0.02)*B52))*180/PI()</f>
        <v>34.605675551638562</v>
      </c>
      <c r="F52" s="9"/>
      <c r="G52" s="9"/>
      <c r="H52" s="9"/>
    </row>
    <row r="53" spans="1:8" x14ac:dyDescent="0.25">
      <c r="A53" s="65" t="s">
        <v>43</v>
      </c>
      <c r="B53" s="20">
        <v>-3</v>
      </c>
      <c r="C53" s="42">
        <f t="shared" ref="C53:C56" si="14">ATAN(0.19-(0.1*B53))*180/PI()</f>
        <v>26.104854009099302</v>
      </c>
      <c r="D53" s="42">
        <f t="shared" ref="D53:D56" si="15">ATAN((0.19-0.02)-((0.1-0.02)*B53))*180/PI()</f>
        <v>22.293629159694085</v>
      </c>
      <c r="E53" s="42">
        <f t="shared" ref="E53:E56" si="16">ATAN((0.19+0.02)-((0.1+0.02)*B53))*180/PI()</f>
        <v>29.683140179123303</v>
      </c>
      <c r="F53" s="9"/>
      <c r="G53" s="9"/>
      <c r="H53" s="9"/>
    </row>
    <row r="54" spans="1:8" x14ac:dyDescent="0.25">
      <c r="A54" s="65" t="s">
        <v>44</v>
      </c>
      <c r="B54" s="20">
        <v>-2</v>
      </c>
      <c r="C54" s="42">
        <f t="shared" si="14"/>
        <v>21.305783617828773</v>
      </c>
      <c r="D54" s="42">
        <f t="shared" si="15"/>
        <v>18.262889942194128</v>
      </c>
      <c r="E54" s="42">
        <f t="shared" si="16"/>
        <v>24.22774531795417</v>
      </c>
      <c r="F54" s="9"/>
      <c r="G54" s="9"/>
      <c r="H54" s="9"/>
    </row>
    <row r="55" spans="1:8" x14ac:dyDescent="0.25">
      <c r="A55" s="65" t="s">
        <v>45</v>
      </c>
      <c r="B55" s="20">
        <v>-1</v>
      </c>
      <c r="C55" s="42">
        <f t="shared" si="14"/>
        <v>16.172159015782555</v>
      </c>
      <c r="D55" s="42">
        <f t="shared" si="15"/>
        <v>14.036243467926477</v>
      </c>
      <c r="E55" s="42">
        <f t="shared" si="16"/>
        <v>18.262889942194128</v>
      </c>
      <c r="F55" s="9"/>
      <c r="G55" s="9"/>
      <c r="H55" s="9"/>
    </row>
    <row r="56" spans="1:8" x14ac:dyDescent="0.25">
      <c r="A56" s="65" t="s">
        <v>46</v>
      </c>
      <c r="B56" s="20">
        <v>-0.5</v>
      </c>
      <c r="C56" s="42">
        <f t="shared" si="14"/>
        <v>13.495733280795813</v>
      </c>
      <c r="D56" s="42">
        <f t="shared" si="15"/>
        <v>11.85977912094798</v>
      </c>
      <c r="E56" s="42">
        <f t="shared" si="16"/>
        <v>15.109575122340466</v>
      </c>
      <c r="F56" s="9"/>
      <c r="G56" s="9"/>
      <c r="H56" s="9"/>
    </row>
    <row r="57" spans="1:8" x14ac:dyDescent="0.25">
      <c r="A57" s="9"/>
      <c r="B57" s="20"/>
      <c r="C57" s="20"/>
      <c r="D57" s="20"/>
      <c r="E57" s="20"/>
      <c r="F57" s="9"/>
      <c r="G57" s="9"/>
      <c r="H57" s="9"/>
    </row>
    <row r="58" spans="1:8" x14ac:dyDescent="0.25">
      <c r="A58" s="65" t="s">
        <v>47</v>
      </c>
      <c r="B58" s="20">
        <v>-4</v>
      </c>
      <c r="C58" s="66">
        <f>(104.5-(143.8*B58))/1000</f>
        <v>0.67970000000000008</v>
      </c>
      <c r="D58" s="20">
        <f>((104.5-59.7)-((143.8-42.5)*B58))/1000</f>
        <v>0.45000000000000007</v>
      </c>
      <c r="E58" s="66">
        <f>((104.5+59.7)-((143.8+42.5)*B58))/1000</f>
        <v>0.9094000000000001</v>
      </c>
      <c r="F58" s="9"/>
      <c r="G58" s="9"/>
      <c r="H58" s="9"/>
    </row>
    <row r="59" spans="1:8" x14ac:dyDescent="0.25">
      <c r="A59" s="65" t="s">
        <v>48</v>
      </c>
      <c r="B59" s="20">
        <v>-3</v>
      </c>
      <c r="C59" s="66">
        <f t="shared" ref="C59:C62" si="17">(104.5-(143.8*B59))/1000</f>
        <v>0.53590000000000004</v>
      </c>
      <c r="D59" s="66">
        <f t="shared" ref="D59:D62" si="18">((104.5-59.7)-((143.8-42.5)*B59))/1000</f>
        <v>0.34870000000000007</v>
      </c>
      <c r="E59" s="66">
        <f t="shared" ref="E59:E62" si="19">((104.5+59.7)-((143.8+42.5)*B59))/1000</f>
        <v>0.72310000000000019</v>
      </c>
      <c r="F59" s="9"/>
      <c r="G59" s="9"/>
      <c r="H59" s="9"/>
    </row>
    <row r="60" spans="1:8" x14ac:dyDescent="0.25">
      <c r="A60" s="65" t="s">
        <v>49</v>
      </c>
      <c r="B60" s="20">
        <v>-2</v>
      </c>
      <c r="C60" s="66">
        <f t="shared" si="17"/>
        <v>0.3921</v>
      </c>
      <c r="D60" s="66">
        <f t="shared" si="18"/>
        <v>0.24740000000000004</v>
      </c>
      <c r="E60" s="66">
        <f t="shared" si="19"/>
        <v>0.53679999999999994</v>
      </c>
      <c r="F60" s="9"/>
      <c r="G60" s="9"/>
      <c r="H60" s="9"/>
    </row>
    <row r="61" spans="1:8" x14ac:dyDescent="0.25">
      <c r="A61" s="65" t="s">
        <v>50</v>
      </c>
      <c r="B61" s="20">
        <v>-1</v>
      </c>
      <c r="C61" s="66">
        <f t="shared" si="17"/>
        <v>0.24830000000000002</v>
      </c>
      <c r="D61" s="66">
        <f t="shared" si="18"/>
        <v>0.14610000000000004</v>
      </c>
      <c r="E61" s="66">
        <f t="shared" si="19"/>
        <v>0.35049999999999998</v>
      </c>
      <c r="F61" s="9"/>
      <c r="G61" s="9"/>
      <c r="H61" s="9"/>
    </row>
    <row r="62" spans="1:8" x14ac:dyDescent="0.25">
      <c r="A62" s="5" t="s">
        <v>51</v>
      </c>
      <c r="B62" s="1">
        <v>-0.5</v>
      </c>
      <c r="C62" s="4">
        <f t="shared" si="17"/>
        <v>0.1764</v>
      </c>
      <c r="D62" s="4">
        <f t="shared" si="18"/>
        <v>9.5450000000000007E-2</v>
      </c>
      <c r="E62" s="4">
        <f t="shared" si="19"/>
        <v>0.25735000000000002</v>
      </c>
    </row>
    <row r="63" spans="1:8" x14ac:dyDescent="0.25">
      <c r="B63" s="1"/>
      <c r="C63" s="1"/>
      <c r="D63" s="1"/>
      <c r="E63" s="1"/>
    </row>
  </sheetData>
  <mergeCells count="3">
    <mergeCell ref="D3:E3"/>
    <mergeCell ref="F3:G3"/>
    <mergeCell ref="H29:H3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 = 0</vt:lpstr>
      <vt:lpstr>D =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Mamot, Philipp</dc:creator>
  <cp:lastModifiedBy>Mamot, Philipp</cp:lastModifiedBy>
  <dcterms:created xsi:type="dcterms:W3CDTF">2016-03-31T14:44:22Z</dcterms:created>
  <dcterms:modified xsi:type="dcterms:W3CDTF">2021-05-09T21:43:50Z</dcterms:modified>
</cp:coreProperties>
</file>